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almiragonzalez\Documents\Site\Federalizados\Ejercicio2020\Publicaciones\"/>
    </mc:Choice>
  </mc:AlternateContent>
  <bookViews>
    <workbookView xWindow="0" yWindow="0" windowWidth="28800" windowHeight="12435" firstSheet="11" activeTab="20"/>
  </bookViews>
  <sheets>
    <sheet name="CALENDARIO 2020" sheetId="23" r:id="rId1"/>
    <sheet name="Consolidado" sheetId="3" r:id="rId2"/>
    <sheet name="FGP" sheetId="4" r:id="rId3"/>
    <sheet name="FFM" sheetId="5" r:id="rId4"/>
    <sheet name="FOCO" sheetId="22" r:id="rId5"/>
    <sheet name="IEPS TyA" sheetId="20" r:id="rId6"/>
    <sheet name="IEPS GyD " sheetId="7" r:id="rId7"/>
    <sheet name="FOFIR" sheetId="8" r:id="rId8"/>
    <sheet name="FOCO ISAN" sheetId="13" r:id="rId9"/>
    <sheet name="Incentivo ISAN" sheetId="14" r:id="rId10"/>
    <sheet name="Predial y Agua" sheetId="1" r:id="rId11"/>
    <sheet name="CENSO 2015" sheetId="11" r:id="rId12"/>
    <sheet name="IEPS 2014 " sheetId="21" r:id="rId13"/>
    <sheet name="F.G.P. 2020" sheetId="50" r:id="rId14"/>
    <sheet name="F.F.M.2020" sheetId="46" r:id="rId15"/>
    <sheet name="FOCO 2020" sheetId="34" r:id="rId16"/>
    <sheet name="IEPS2020" sheetId="43" r:id="rId17"/>
    <sheet name="IEPSGAS 2020" sheetId="40" r:id="rId18"/>
    <sheet name="FOFIR 2020" sheetId="37" r:id="rId19"/>
    <sheet name="FOCO ISAN " sheetId="32" r:id="rId20"/>
    <sheet name="ISAN Recaudacion" sheetId="33" r:id="rId21"/>
    <sheet name=" FOCO INCREMENTO" sheetId="35" state="veryHidden" r:id="rId22"/>
    <sheet name=" FOCO ESTIMACION" sheetId="36" state="veryHidden" r:id="rId23"/>
    <sheet name="FOFIR  INCREMENTO" sheetId="38" state="veryHidden" r:id="rId24"/>
    <sheet name="FFOR ESTIMACIONES" sheetId="39" state="veryHidden" r:id="rId25"/>
    <sheet name="IEPSGASINCREMENTO" sheetId="41" state="veryHidden" r:id="rId26"/>
    <sheet name="IEPSGAS ESTIMACIONES" sheetId="42" state="veryHidden" r:id="rId27"/>
    <sheet name="IEPS INCREMENTO" sheetId="44" state="veryHidden" r:id="rId28"/>
    <sheet name="IEPS ESTIMACIONES" sheetId="45" state="veryHidden" r:id="rId29"/>
    <sheet name="F.F.M30%" sheetId="47" state="veryHidden" r:id="rId30"/>
    <sheet name="F.F.M.70%" sheetId="48" state="veryHidden" r:id="rId31"/>
    <sheet name="F.F.M.ESTIIMACIONES 2014" sheetId="49" state="veryHidden" r:id="rId32"/>
    <sheet name="F.G.P.INCREMENTO" sheetId="51" state="veryHidden" r:id="rId33"/>
    <sheet name="F.G.P. ESTIMACIONES 2014" sheetId="52" state="veryHidden" r:id="rId34"/>
    <sheet name="Datos" sheetId="15" state="veryHidden" r:id="rId35"/>
    <sheet name="FGP 30%" sheetId="18" state="veryHidden" r:id="rId36"/>
    <sheet name="FGP 10%" sheetId="19" state="veryHidden" r:id="rId37"/>
  </sheets>
  <externalReferences>
    <externalReference r:id="rId38"/>
    <externalReference r:id="rId39"/>
    <externalReference r:id="rId40"/>
    <externalReference r:id="rId41"/>
    <externalReference r:id="rId42"/>
  </externalReferences>
  <definedNames>
    <definedName name="_xlnm.Print_Area" localSheetId="34">Datos!$B$2:$K$67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2" i="35" l="1"/>
  <c r="D32" i="35"/>
  <c r="E32" i="35"/>
  <c r="F32" i="35"/>
  <c r="G32" i="35"/>
  <c r="H32" i="35"/>
  <c r="I32" i="35"/>
  <c r="J32" i="35"/>
  <c r="K32" i="35"/>
  <c r="L32" i="35"/>
  <c r="M32" i="35"/>
  <c r="N32" i="35"/>
  <c r="C32" i="35"/>
  <c r="Y11" i="3" l="1"/>
  <c r="Y12" i="3"/>
  <c r="Y13" i="3"/>
  <c r="Y14" i="3"/>
  <c r="Y15" i="3"/>
  <c r="Y16" i="3"/>
  <c r="Y17" i="3"/>
  <c r="Y18" i="3"/>
  <c r="Y19" i="3"/>
  <c r="Y20" i="3"/>
  <c r="Y21" i="3"/>
  <c r="Y22" i="3"/>
  <c r="Y23" i="3"/>
  <c r="Y24" i="3"/>
  <c r="Y25" i="3"/>
  <c r="Y26" i="3"/>
  <c r="Y27" i="3"/>
  <c r="Y28" i="3"/>
  <c r="Y29" i="3"/>
  <c r="Y10" i="3"/>
  <c r="Y30" i="3" s="1"/>
  <c r="W30" i="3"/>
  <c r="X30" i="3"/>
  <c r="V30" i="3"/>
  <c r="U30" i="3"/>
  <c r="X11" i="3"/>
  <c r="X12" i="3"/>
  <c r="X13" i="3"/>
  <c r="X14" i="3"/>
  <c r="X15" i="3"/>
  <c r="X16" i="3"/>
  <c r="X17" i="3"/>
  <c r="X18" i="3"/>
  <c r="X19" i="3"/>
  <c r="X20" i="3"/>
  <c r="X21" i="3"/>
  <c r="X22" i="3"/>
  <c r="X23" i="3"/>
  <c r="X24" i="3"/>
  <c r="X25" i="3"/>
  <c r="X26" i="3"/>
  <c r="X27" i="3"/>
  <c r="X28" i="3"/>
  <c r="X29" i="3"/>
  <c r="X10" i="3"/>
  <c r="O29" i="33" l="1"/>
  <c r="N27" i="52"/>
  <c r="M27" i="52"/>
  <c r="L27" i="52"/>
  <c r="K27" i="52"/>
  <c r="K31" i="51" s="1"/>
  <c r="J27" i="52"/>
  <c r="I27" i="52"/>
  <c r="H27" i="52"/>
  <c r="G27" i="52"/>
  <c r="G31" i="51" s="1"/>
  <c r="F27" i="52"/>
  <c r="E27" i="52"/>
  <c r="D27" i="52"/>
  <c r="C27" i="52"/>
  <c r="C31" i="51" s="1"/>
  <c r="B27" i="52"/>
  <c r="O26" i="52"/>
  <c r="O25" i="52"/>
  <c r="O24" i="52"/>
  <c r="O23" i="52"/>
  <c r="O22" i="52"/>
  <c r="O21" i="52"/>
  <c r="O20" i="52"/>
  <c r="O19" i="52"/>
  <c r="O18" i="52"/>
  <c r="O17" i="52"/>
  <c r="O16" i="52"/>
  <c r="O15" i="52"/>
  <c r="O14" i="52"/>
  <c r="O13" i="52"/>
  <c r="O12" i="52"/>
  <c r="O11" i="52"/>
  <c r="O10" i="52"/>
  <c r="O9" i="52"/>
  <c r="O8" i="52"/>
  <c r="O7" i="52"/>
  <c r="N31" i="51"/>
  <c r="M31" i="51"/>
  <c r="L31" i="51"/>
  <c r="J31" i="51"/>
  <c r="I31" i="51"/>
  <c r="H31" i="51"/>
  <c r="F31" i="51"/>
  <c r="E31" i="51"/>
  <c r="D31" i="51"/>
  <c r="N30" i="51"/>
  <c r="N32" i="51" s="1"/>
  <c r="N22" i="51" s="1"/>
  <c r="N19" i="50" s="1"/>
  <c r="M30" i="51"/>
  <c r="M32" i="51" s="1"/>
  <c r="L30" i="51"/>
  <c r="L32" i="51" s="1"/>
  <c r="L12" i="51" s="1"/>
  <c r="L9" i="50" s="1"/>
  <c r="K30" i="51"/>
  <c r="K32" i="51" s="1"/>
  <c r="J30" i="51"/>
  <c r="I30" i="51"/>
  <c r="I32" i="51" s="1"/>
  <c r="H30" i="51"/>
  <c r="H32" i="51" s="1"/>
  <c r="H16" i="51" s="1"/>
  <c r="H13" i="50" s="1"/>
  <c r="G30" i="51"/>
  <c r="G32" i="51" s="1"/>
  <c r="F30" i="51"/>
  <c r="F32" i="51" s="1"/>
  <c r="F26" i="51" s="1"/>
  <c r="F23" i="50" s="1"/>
  <c r="E30" i="51"/>
  <c r="E32" i="51" s="1"/>
  <c r="D30" i="51"/>
  <c r="D32" i="51" s="1"/>
  <c r="D20" i="51" s="1"/>
  <c r="D17" i="50" s="1"/>
  <c r="C30" i="51"/>
  <c r="C32" i="51" s="1"/>
  <c r="N26" i="51"/>
  <c r="N23" i="50" s="1"/>
  <c r="L16" i="51"/>
  <c r="L13" i="50" s="1"/>
  <c r="H12" i="51"/>
  <c r="H9" i="50" s="1"/>
  <c r="B7" i="51"/>
  <c r="B27" i="51" s="1"/>
  <c r="B24" i="50"/>
  <c r="N27" i="49"/>
  <c r="N30" i="48" s="1"/>
  <c r="N31" i="48" s="1"/>
  <c r="M27" i="49"/>
  <c r="L27" i="49"/>
  <c r="K27" i="49"/>
  <c r="J27" i="49"/>
  <c r="J30" i="48" s="1"/>
  <c r="J31" i="48" s="1"/>
  <c r="I27" i="49"/>
  <c r="H27" i="49"/>
  <c r="G27" i="49"/>
  <c r="F27" i="49"/>
  <c r="F30" i="48" s="1"/>
  <c r="F31" i="48" s="1"/>
  <c r="E27" i="49"/>
  <c r="D27" i="49"/>
  <c r="C27" i="49"/>
  <c r="O27" i="49" s="1"/>
  <c r="B27" i="49"/>
  <c r="O26" i="49"/>
  <c r="O25" i="49"/>
  <c r="O24" i="49"/>
  <c r="O23" i="49"/>
  <c r="O22" i="49"/>
  <c r="O21" i="49"/>
  <c r="O20" i="49"/>
  <c r="O19" i="49"/>
  <c r="O18" i="49"/>
  <c r="O17" i="49"/>
  <c r="O16" i="49"/>
  <c r="O15" i="49"/>
  <c r="O14" i="49"/>
  <c r="O13" i="49"/>
  <c r="O12" i="49"/>
  <c r="O11" i="49"/>
  <c r="O10" i="49"/>
  <c r="O9" i="49"/>
  <c r="O8" i="49"/>
  <c r="O7" i="49"/>
  <c r="H33" i="48"/>
  <c r="E33" i="48"/>
  <c r="M32" i="48"/>
  <c r="E32" i="48"/>
  <c r="G31" i="48"/>
  <c r="M30" i="48"/>
  <c r="M31" i="48" s="1"/>
  <c r="M33" i="48" s="1"/>
  <c r="L30" i="48"/>
  <c r="L31" i="48" s="1"/>
  <c r="L32" i="48" s="1"/>
  <c r="L25" i="48" s="1"/>
  <c r="K30" i="48"/>
  <c r="K31" i="48" s="1"/>
  <c r="I30" i="48"/>
  <c r="I31" i="48" s="1"/>
  <c r="H30" i="48"/>
  <c r="H31" i="48" s="1"/>
  <c r="H32" i="48" s="1"/>
  <c r="H25" i="48" s="1"/>
  <c r="G30" i="48"/>
  <c r="E30" i="48"/>
  <c r="E31" i="48" s="1"/>
  <c r="D30" i="48"/>
  <c r="D31" i="48" s="1"/>
  <c r="C30" i="48"/>
  <c r="C31" i="48" s="1"/>
  <c r="O29" i="48"/>
  <c r="B27" i="48"/>
  <c r="L26" i="48"/>
  <c r="H26" i="48"/>
  <c r="L24" i="48"/>
  <c r="H24" i="48"/>
  <c r="L23" i="48"/>
  <c r="H23" i="48"/>
  <c r="L22" i="48"/>
  <c r="H22" i="48"/>
  <c r="L20" i="48"/>
  <c r="H20" i="48"/>
  <c r="L19" i="48"/>
  <c r="H19" i="48"/>
  <c r="E19" i="48"/>
  <c r="L18" i="48"/>
  <c r="H18" i="48"/>
  <c r="L16" i="48"/>
  <c r="H16" i="48"/>
  <c r="M15" i="48"/>
  <c r="L15" i="48"/>
  <c r="H15" i="48"/>
  <c r="E15" i="48"/>
  <c r="L14" i="48"/>
  <c r="H14" i="48"/>
  <c r="E13" i="48"/>
  <c r="L12" i="48"/>
  <c r="H12" i="48"/>
  <c r="L11" i="48"/>
  <c r="H11" i="48"/>
  <c r="E11" i="48"/>
  <c r="L10" i="48"/>
  <c r="H10" i="48"/>
  <c r="L9" i="48"/>
  <c r="H9" i="48"/>
  <c r="E9" i="48"/>
  <c r="L8" i="48"/>
  <c r="H8" i="48"/>
  <c r="M7" i="48"/>
  <c r="L7" i="48"/>
  <c r="H7" i="48"/>
  <c r="E7" i="48"/>
  <c r="B26" i="47"/>
  <c r="K26" i="47" s="1"/>
  <c r="B25" i="47"/>
  <c r="B24" i="47"/>
  <c r="J24" i="47" s="1"/>
  <c r="B23" i="47"/>
  <c r="I23" i="47" s="1"/>
  <c r="B22" i="47"/>
  <c r="L22" i="47" s="1"/>
  <c r="L19" i="46" s="1"/>
  <c r="B21" i="47"/>
  <c r="L21" i="47" s="1"/>
  <c r="B20" i="47"/>
  <c r="N20" i="47" s="1"/>
  <c r="B19" i="47"/>
  <c r="L19" i="47" s="1"/>
  <c r="L16" i="46" s="1"/>
  <c r="B18" i="47"/>
  <c r="H18" i="47" s="1"/>
  <c r="H15" i="46" s="1"/>
  <c r="B17" i="47"/>
  <c r="K17" i="47" s="1"/>
  <c r="B16" i="47"/>
  <c r="M16" i="47" s="1"/>
  <c r="B15" i="47"/>
  <c r="K15" i="47" s="1"/>
  <c r="B14" i="47"/>
  <c r="M14" i="47" s="1"/>
  <c r="B13" i="47"/>
  <c r="K13" i="47" s="1"/>
  <c r="B12" i="47"/>
  <c r="M12" i="47" s="1"/>
  <c r="B11" i="47"/>
  <c r="K11" i="47" s="1"/>
  <c r="B10" i="47"/>
  <c r="M10" i="47" s="1"/>
  <c r="B9" i="47"/>
  <c r="K9" i="47" s="1"/>
  <c r="B8" i="47"/>
  <c r="M8" i="47" s="1"/>
  <c r="B7" i="47"/>
  <c r="K7" i="47" s="1"/>
  <c r="B24" i="46"/>
  <c r="J33" i="45"/>
  <c r="F33" i="45"/>
  <c r="O32" i="45"/>
  <c r="N28" i="45"/>
  <c r="M28" i="45"/>
  <c r="M29" i="45" s="1"/>
  <c r="L28" i="45"/>
  <c r="L29" i="45" s="1"/>
  <c r="K28" i="45"/>
  <c r="K29" i="45" s="1"/>
  <c r="J28" i="45"/>
  <c r="I28" i="45"/>
  <c r="I29" i="45" s="1"/>
  <c r="H28" i="45"/>
  <c r="H29" i="45" s="1"/>
  <c r="G28" i="45"/>
  <c r="G29" i="45" s="1"/>
  <c r="F28" i="45"/>
  <c r="E28" i="45"/>
  <c r="E29" i="45" s="1"/>
  <c r="D28" i="45"/>
  <c r="D29" i="45" s="1"/>
  <c r="C28" i="45"/>
  <c r="C29" i="45" s="1"/>
  <c r="N27" i="45"/>
  <c r="N29" i="45" s="1"/>
  <c r="M27" i="45"/>
  <c r="M33" i="45" s="1"/>
  <c r="L27" i="45"/>
  <c r="L33" i="45" s="1"/>
  <c r="K27" i="45"/>
  <c r="K33" i="45" s="1"/>
  <c r="J27" i="45"/>
  <c r="J29" i="45" s="1"/>
  <c r="I27" i="45"/>
  <c r="I33" i="45" s="1"/>
  <c r="H27" i="45"/>
  <c r="H33" i="45" s="1"/>
  <c r="G27" i="45"/>
  <c r="G33" i="45" s="1"/>
  <c r="F27" i="45"/>
  <c r="F29" i="45" s="1"/>
  <c r="E27" i="45"/>
  <c r="E33" i="45" s="1"/>
  <c r="D27" i="45"/>
  <c r="D33" i="45" s="1"/>
  <c r="C27" i="45"/>
  <c r="C33" i="45" s="1"/>
  <c r="B27" i="45"/>
  <c r="O26" i="45"/>
  <c r="O25" i="45"/>
  <c r="O24" i="45"/>
  <c r="O23" i="45"/>
  <c r="O22" i="45"/>
  <c r="O21" i="45"/>
  <c r="O20" i="45"/>
  <c r="O19" i="45"/>
  <c r="O18" i="45"/>
  <c r="O17" i="45"/>
  <c r="O16" i="45"/>
  <c r="O15" i="45"/>
  <c r="O14" i="45"/>
  <c r="O13" i="45"/>
  <c r="O12" i="45"/>
  <c r="O11" i="45"/>
  <c r="O10" i="45"/>
  <c r="O9" i="45"/>
  <c r="O8" i="45"/>
  <c r="O7" i="45"/>
  <c r="O27" i="45" s="1"/>
  <c r="N28" i="44"/>
  <c r="M28" i="44"/>
  <c r="L28" i="44"/>
  <c r="K28" i="44"/>
  <c r="J28" i="44"/>
  <c r="I28" i="44"/>
  <c r="H28" i="44"/>
  <c r="G28" i="44"/>
  <c r="F28" i="44"/>
  <c r="E28" i="44"/>
  <c r="D28" i="44"/>
  <c r="C28" i="44"/>
  <c r="B27" i="44"/>
  <c r="N26" i="44"/>
  <c r="M26" i="44"/>
  <c r="L26" i="44"/>
  <c r="K26" i="44"/>
  <c r="J26" i="44"/>
  <c r="I26" i="44"/>
  <c r="H26" i="44"/>
  <c r="G26" i="44"/>
  <c r="F26" i="44"/>
  <c r="E26" i="44"/>
  <c r="D26" i="44"/>
  <c r="C26" i="44"/>
  <c r="N25" i="44"/>
  <c r="M25" i="44"/>
  <c r="L25" i="44"/>
  <c r="K25" i="44"/>
  <c r="J25" i="44"/>
  <c r="I25" i="44"/>
  <c r="H25" i="44"/>
  <c r="G25" i="44"/>
  <c r="F25" i="44"/>
  <c r="E25" i="44"/>
  <c r="D25" i="44"/>
  <c r="C25" i="44"/>
  <c r="O25" i="44" s="1"/>
  <c r="N24" i="44"/>
  <c r="M24" i="44"/>
  <c r="L24" i="44"/>
  <c r="K24" i="44"/>
  <c r="J24" i="44"/>
  <c r="I24" i="44"/>
  <c r="H24" i="44"/>
  <c r="G24" i="44"/>
  <c r="F24" i="44"/>
  <c r="E24" i="44"/>
  <c r="D24" i="44"/>
  <c r="C24" i="44"/>
  <c r="N23" i="44"/>
  <c r="M23" i="44"/>
  <c r="L23" i="44"/>
  <c r="K23" i="44"/>
  <c r="J23" i="44"/>
  <c r="I23" i="44"/>
  <c r="H23" i="44"/>
  <c r="G23" i="44"/>
  <c r="F23" i="44"/>
  <c r="E23" i="44"/>
  <c r="D23" i="44"/>
  <c r="C23" i="44"/>
  <c r="O23" i="44" s="1"/>
  <c r="N22" i="44"/>
  <c r="M22" i="44"/>
  <c r="L22" i="44"/>
  <c r="K22" i="44"/>
  <c r="J22" i="44"/>
  <c r="I22" i="44"/>
  <c r="H22" i="44"/>
  <c r="G22" i="44"/>
  <c r="F22" i="44"/>
  <c r="E22" i="44"/>
  <c r="D22" i="44"/>
  <c r="C22" i="44"/>
  <c r="O22" i="44" s="1"/>
  <c r="N21" i="44"/>
  <c r="M21" i="44"/>
  <c r="L21" i="44"/>
  <c r="K21" i="44"/>
  <c r="J21" i="44"/>
  <c r="I21" i="44"/>
  <c r="H21" i="44"/>
  <c r="G21" i="44"/>
  <c r="F21" i="44"/>
  <c r="E21" i="44"/>
  <c r="D21" i="44"/>
  <c r="C21" i="44"/>
  <c r="O21" i="44" s="1"/>
  <c r="N20" i="44"/>
  <c r="M20" i="44"/>
  <c r="L20" i="44"/>
  <c r="K20" i="44"/>
  <c r="J20" i="44"/>
  <c r="I20" i="44"/>
  <c r="H20" i="44"/>
  <c r="G20" i="44"/>
  <c r="F20" i="44"/>
  <c r="E20" i="44"/>
  <c r="D20" i="44"/>
  <c r="C20" i="44"/>
  <c r="N19" i="44"/>
  <c r="M19" i="44"/>
  <c r="L19" i="44"/>
  <c r="K19" i="44"/>
  <c r="J19" i="44"/>
  <c r="I19" i="44"/>
  <c r="H19" i="44"/>
  <c r="G19" i="44"/>
  <c r="F19" i="44"/>
  <c r="E19" i="44"/>
  <c r="D19" i="44"/>
  <c r="C19" i="44"/>
  <c r="N18" i="44"/>
  <c r="M18" i="44"/>
  <c r="L18" i="44"/>
  <c r="K18" i="44"/>
  <c r="J18" i="44"/>
  <c r="I18" i="44"/>
  <c r="H18" i="44"/>
  <c r="G18" i="44"/>
  <c r="F18" i="44"/>
  <c r="E18" i="44"/>
  <c r="D18" i="44"/>
  <c r="C18" i="44"/>
  <c r="N17" i="44"/>
  <c r="M17" i="44"/>
  <c r="L17" i="44"/>
  <c r="K17" i="44"/>
  <c r="J17" i="44"/>
  <c r="I17" i="44"/>
  <c r="H17" i="44"/>
  <c r="G17" i="44"/>
  <c r="F17" i="44"/>
  <c r="E17" i="44"/>
  <c r="D17" i="44"/>
  <c r="C17" i="44"/>
  <c r="O17" i="44" s="1"/>
  <c r="N16" i="44"/>
  <c r="N14" i="43" s="1"/>
  <c r="M16" i="44"/>
  <c r="L16" i="44"/>
  <c r="K16" i="44"/>
  <c r="J16" i="44"/>
  <c r="J14" i="43" s="1"/>
  <c r="I16" i="44"/>
  <c r="H16" i="44"/>
  <c r="G16" i="44"/>
  <c r="F16" i="44"/>
  <c r="F14" i="43" s="1"/>
  <c r="E16" i="44"/>
  <c r="D16" i="44"/>
  <c r="C16" i="44"/>
  <c r="N15" i="44"/>
  <c r="M15" i="44"/>
  <c r="L15" i="44"/>
  <c r="K15" i="44"/>
  <c r="K13" i="43" s="1"/>
  <c r="J15" i="44"/>
  <c r="I15" i="44"/>
  <c r="H15" i="44"/>
  <c r="G15" i="44"/>
  <c r="G13" i="43" s="1"/>
  <c r="F15" i="44"/>
  <c r="E15" i="44"/>
  <c r="D15" i="44"/>
  <c r="C15" i="44"/>
  <c r="O15" i="44" s="1"/>
  <c r="N14" i="44"/>
  <c r="M14" i="44"/>
  <c r="L14" i="44"/>
  <c r="K14" i="44"/>
  <c r="J14" i="44"/>
  <c r="I14" i="44"/>
  <c r="H14" i="44"/>
  <c r="G14" i="44"/>
  <c r="F14" i="44"/>
  <c r="E14" i="44"/>
  <c r="D14" i="44"/>
  <c r="C14" i="44"/>
  <c r="O14" i="44" s="1"/>
  <c r="N13" i="44"/>
  <c r="M13" i="44"/>
  <c r="L13" i="44"/>
  <c r="K13" i="44"/>
  <c r="J13" i="44"/>
  <c r="I13" i="44"/>
  <c r="H13" i="44"/>
  <c r="G13" i="44"/>
  <c r="F13" i="44"/>
  <c r="E13" i="44"/>
  <c r="D13" i="44"/>
  <c r="C13" i="44"/>
  <c r="O13" i="44" s="1"/>
  <c r="N12" i="44"/>
  <c r="M12" i="44"/>
  <c r="L12" i="44"/>
  <c r="K12" i="44"/>
  <c r="J12" i="44"/>
  <c r="I12" i="44"/>
  <c r="H12" i="44"/>
  <c r="G12" i="44"/>
  <c r="F12" i="44"/>
  <c r="E12" i="44"/>
  <c r="D12" i="44"/>
  <c r="C12" i="44"/>
  <c r="N11" i="44"/>
  <c r="M11" i="44"/>
  <c r="L11" i="44"/>
  <c r="K11" i="44"/>
  <c r="J11" i="44"/>
  <c r="I11" i="44"/>
  <c r="H11" i="44"/>
  <c r="G11" i="44"/>
  <c r="F11" i="44"/>
  <c r="E11" i="44"/>
  <c r="D11" i="44"/>
  <c r="C11" i="44"/>
  <c r="O11" i="44" s="1"/>
  <c r="N10" i="44"/>
  <c r="M10" i="44"/>
  <c r="L10" i="44"/>
  <c r="K10" i="44"/>
  <c r="J10" i="44"/>
  <c r="I10" i="44"/>
  <c r="H10" i="44"/>
  <c r="G10" i="44"/>
  <c r="F10" i="44"/>
  <c r="E10" i="44"/>
  <c r="D10" i="44"/>
  <c r="C10" i="44"/>
  <c r="N9" i="44"/>
  <c r="M9" i="44"/>
  <c r="L9" i="44"/>
  <c r="K9" i="44"/>
  <c r="J9" i="44"/>
  <c r="I9" i="44"/>
  <c r="H9" i="44"/>
  <c r="G9" i="44"/>
  <c r="F9" i="44"/>
  <c r="E9" i="44"/>
  <c r="D9" i="44"/>
  <c r="C9" i="44"/>
  <c r="O9" i="44" s="1"/>
  <c r="N8" i="44"/>
  <c r="M8" i="44"/>
  <c r="L8" i="44"/>
  <c r="L27" i="44" s="1"/>
  <c r="K8" i="44"/>
  <c r="J8" i="44"/>
  <c r="I8" i="44"/>
  <c r="H8" i="44"/>
  <c r="H27" i="44" s="1"/>
  <c r="G8" i="44"/>
  <c r="F8" i="44"/>
  <c r="F27" i="44" s="1"/>
  <c r="E8" i="44"/>
  <c r="D8" i="44"/>
  <c r="D27" i="44" s="1"/>
  <c r="C8" i="44"/>
  <c r="N7" i="44"/>
  <c r="M7" i="44"/>
  <c r="L7" i="44"/>
  <c r="K7" i="44"/>
  <c r="J7" i="44"/>
  <c r="I7" i="44"/>
  <c r="H7" i="44"/>
  <c r="G7" i="44"/>
  <c r="F7" i="44"/>
  <c r="E7" i="44"/>
  <c r="D7" i="44"/>
  <c r="C7" i="44"/>
  <c r="N26" i="43"/>
  <c r="M26" i="43"/>
  <c r="L26" i="43"/>
  <c r="K26" i="43"/>
  <c r="J26" i="43"/>
  <c r="I26" i="43"/>
  <c r="H26" i="43"/>
  <c r="G26" i="43"/>
  <c r="F26" i="43"/>
  <c r="E26" i="43"/>
  <c r="D26" i="43"/>
  <c r="C26" i="43"/>
  <c r="B25" i="43"/>
  <c r="N24" i="43"/>
  <c r="M24" i="43"/>
  <c r="L24" i="43"/>
  <c r="K24" i="43"/>
  <c r="J24" i="43"/>
  <c r="I24" i="43"/>
  <c r="H24" i="43"/>
  <c r="G24" i="43"/>
  <c r="F24" i="43"/>
  <c r="E24" i="43"/>
  <c r="D24" i="43"/>
  <c r="C24" i="43"/>
  <c r="N23" i="43"/>
  <c r="M23" i="43"/>
  <c r="L23" i="43"/>
  <c r="K23" i="43"/>
  <c r="J23" i="43"/>
  <c r="I23" i="43"/>
  <c r="H23" i="43"/>
  <c r="G23" i="43"/>
  <c r="F23" i="43"/>
  <c r="E23" i="43"/>
  <c r="D23" i="43"/>
  <c r="C23" i="43"/>
  <c r="O23" i="43" s="1"/>
  <c r="N22" i="43"/>
  <c r="M22" i="43"/>
  <c r="L22" i="43"/>
  <c r="K22" i="43"/>
  <c r="J22" i="43"/>
  <c r="I22" i="43"/>
  <c r="H22" i="43"/>
  <c r="G22" i="43"/>
  <c r="F22" i="43"/>
  <c r="E22" i="43"/>
  <c r="D22" i="43"/>
  <c r="C22" i="43"/>
  <c r="N21" i="43"/>
  <c r="M21" i="43"/>
  <c r="L21" i="43"/>
  <c r="K21" i="43"/>
  <c r="J21" i="43"/>
  <c r="I21" i="43"/>
  <c r="H21" i="43"/>
  <c r="G21" i="43"/>
  <c r="F21" i="43"/>
  <c r="E21" i="43"/>
  <c r="D21" i="43"/>
  <c r="C21" i="43"/>
  <c r="O21" i="43" s="1"/>
  <c r="N20" i="43"/>
  <c r="M20" i="43"/>
  <c r="L20" i="43"/>
  <c r="K20" i="43"/>
  <c r="J20" i="43"/>
  <c r="I20" i="43"/>
  <c r="H20" i="43"/>
  <c r="G20" i="43"/>
  <c r="F20" i="43"/>
  <c r="E20" i="43"/>
  <c r="D20" i="43"/>
  <c r="C20" i="43"/>
  <c r="O20" i="43" s="1"/>
  <c r="N19" i="43"/>
  <c r="M19" i="43"/>
  <c r="L19" i="43"/>
  <c r="K19" i="43"/>
  <c r="J19" i="43"/>
  <c r="I19" i="43"/>
  <c r="H19" i="43"/>
  <c r="G19" i="43"/>
  <c r="F19" i="43"/>
  <c r="E19" i="43"/>
  <c r="D19" i="43"/>
  <c r="C19" i="43"/>
  <c r="O19" i="43" s="1"/>
  <c r="N18" i="43"/>
  <c r="M18" i="43"/>
  <c r="L18" i="43"/>
  <c r="K18" i="43"/>
  <c r="J18" i="43"/>
  <c r="I18" i="43"/>
  <c r="H18" i="43"/>
  <c r="G18" i="43"/>
  <c r="F18" i="43"/>
  <c r="E18" i="43"/>
  <c r="D18" i="43"/>
  <c r="C18" i="43"/>
  <c r="N17" i="43"/>
  <c r="M17" i="43"/>
  <c r="L17" i="43"/>
  <c r="K17" i="43"/>
  <c r="J17" i="43"/>
  <c r="I17" i="43"/>
  <c r="H17" i="43"/>
  <c r="G17" i="43"/>
  <c r="F17" i="43"/>
  <c r="E17" i="43"/>
  <c r="D17" i="43"/>
  <c r="C17" i="43"/>
  <c r="N16" i="43"/>
  <c r="M16" i="43"/>
  <c r="L16" i="43"/>
  <c r="K16" i="43"/>
  <c r="J16" i="43"/>
  <c r="I16" i="43"/>
  <c r="H16" i="43"/>
  <c r="G16" i="43"/>
  <c r="F16" i="43"/>
  <c r="E16" i="43"/>
  <c r="D16" i="43"/>
  <c r="C16" i="43"/>
  <c r="N15" i="43"/>
  <c r="M15" i="43"/>
  <c r="L15" i="43"/>
  <c r="K15" i="43"/>
  <c r="J15" i="43"/>
  <c r="I15" i="43"/>
  <c r="H15" i="43"/>
  <c r="G15" i="43"/>
  <c r="F15" i="43"/>
  <c r="E15" i="43"/>
  <c r="D15" i="43"/>
  <c r="C15" i="43"/>
  <c r="O15" i="43" s="1"/>
  <c r="M14" i="43"/>
  <c r="L14" i="43"/>
  <c r="K14" i="43"/>
  <c r="I14" i="43"/>
  <c r="H14" i="43"/>
  <c r="G14" i="43"/>
  <c r="E14" i="43"/>
  <c r="D14" i="43"/>
  <c r="C14" i="43"/>
  <c r="N13" i="43"/>
  <c r="M13" i="43"/>
  <c r="L13" i="43"/>
  <c r="J13" i="43"/>
  <c r="I13" i="43"/>
  <c r="H13" i="43"/>
  <c r="F13" i="43"/>
  <c r="E13" i="43"/>
  <c r="D13" i="43"/>
  <c r="N12" i="43"/>
  <c r="M12" i="43"/>
  <c r="L12" i="43"/>
  <c r="K12" i="43"/>
  <c r="J12" i="43"/>
  <c r="I12" i="43"/>
  <c r="H12" i="43"/>
  <c r="G12" i="43"/>
  <c r="F12" i="43"/>
  <c r="E12" i="43"/>
  <c r="D12" i="43"/>
  <c r="C12" i="43"/>
  <c r="N11" i="43"/>
  <c r="M11" i="43"/>
  <c r="L11" i="43"/>
  <c r="K11" i="43"/>
  <c r="J11" i="43"/>
  <c r="I11" i="43"/>
  <c r="H11" i="43"/>
  <c r="G11" i="43"/>
  <c r="F11" i="43"/>
  <c r="E11" i="43"/>
  <c r="D11" i="43"/>
  <c r="C11" i="43"/>
  <c r="N10" i="43"/>
  <c r="M10" i="43"/>
  <c r="L10" i="43"/>
  <c r="K10" i="43"/>
  <c r="J10" i="43"/>
  <c r="I10" i="43"/>
  <c r="H10" i="43"/>
  <c r="G10" i="43"/>
  <c r="F10" i="43"/>
  <c r="E10" i="43"/>
  <c r="D10" i="43"/>
  <c r="C10" i="43"/>
  <c r="N9" i="43"/>
  <c r="M9" i="43"/>
  <c r="L9" i="43"/>
  <c r="K9" i="43"/>
  <c r="J9" i="43"/>
  <c r="I9" i="43"/>
  <c r="H9" i="43"/>
  <c r="G9" i="43"/>
  <c r="F9" i="43"/>
  <c r="E9" i="43"/>
  <c r="D9" i="43"/>
  <c r="C9" i="43"/>
  <c r="N8" i="43"/>
  <c r="M8" i="43"/>
  <c r="L8" i="43"/>
  <c r="K8" i="43"/>
  <c r="J8" i="43"/>
  <c r="I8" i="43"/>
  <c r="H8" i="43"/>
  <c r="G8" i="43"/>
  <c r="F8" i="43"/>
  <c r="E8" i="43"/>
  <c r="D8" i="43"/>
  <c r="C8" i="43"/>
  <c r="N7" i="43"/>
  <c r="M7" i="43"/>
  <c r="L7" i="43"/>
  <c r="K7" i="43"/>
  <c r="J7" i="43"/>
  <c r="I7" i="43"/>
  <c r="H7" i="43"/>
  <c r="G7" i="43"/>
  <c r="F7" i="43"/>
  <c r="E7" i="43"/>
  <c r="D7" i="43"/>
  <c r="C7" i="43"/>
  <c r="N6" i="43"/>
  <c r="M6" i="43"/>
  <c r="L6" i="43"/>
  <c r="K6" i="43"/>
  <c r="J6" i="43"/>
  <c r="I6" i="43"/>
  <c r="H6" i="43"/>
  <c r="G6" i="43"/>
  <c r="F6" i="43"/>
  <c r="E6" i="43"/>
  <c r="D6" i="43"/>
  <c r="C6" i="43"/>
  <c r="N5" i="43"/>
  <c r="M5" i="43"/>
  <c r="L5" i="43"/>
  <c r="K5" i="43"/>
  <c r="J5" i="43"/>
  <c r="I5" i="43"/>
  <c r="H5" i="43"/>
  <c r="G5" i="43"/>
  <c r="F5" i="43"/>
  <c r="E5" i="43"/>
  <c r="D5" i="43"/>
  <c r="C5" i="43"/>
  <c r="N31" i="42"/>
  <c r="K31" i="42"/>
  <c r="J31" i="42"/>
  <c r="G31" i="42"/>
  <c r="D31" i="42"/>
  <c r="C31" i="42"/>
  <c r="O30" i="42"/>
  <c r="N27" i="42"/>
  <c r="M27" i="42"/>
  <c r="M31" i="42" s="1"/>
  <c r="L27" i="42"/>
  <c r="L31" i="42" s="1"/>
  <c r="K27" i="42"/>
  <c r="J27" i="42"/>
  <c r="I27" i="42"/>
  <c r="I31" i="42" s="1"/>
  <c r="H27" i="42"/>
  <c r="H31" i="42" s="1"/>
  <c r="G27" i="42"/>
  <c r="F27" i="42"/>
  <c r="F31" i="42" s="1"/>
  <c r="E27" i="42"/>
  <c r="E31" i="42" s="1"/>
  <c r="D27" i="42"/>
  <c r="C27" i="42"/>
  <c r="B27" i="42"/>
  <c r="O26" i="42"/>
  <c r="O25" i="42"/>
  <c r="O24" i="42"/>
  <c r="O23" i="42"/>
  <c r="O22" i="42"/>
  <c r="O21" i="42"/>
  <c r="O20" i="42"/>
  <c r="O19" i="42"/>
  <c r="O18" i="42"/>
  <c r="O17" i="42"/>
  <c r="O16" i="42"/>
  <c r="O15" i="42"/>
  <c r="O14" i="42"/>
  <c r="O13" i="42"/>
  <c r="O12" i="42"/>
  <c r="O11" i="42"/>
  <c r="O10" i="42"/>
  <c r="O9" i="42"/>
  <c r="O8" i="42"/>
  <c r="O7" i="42"/>
  <c r="B27" i="41"/>
  <c r="N26" i="41"/>
  <c r="N23" i="40" s="1"/>
  <c r="M26" i="41"/>
  <c r="L26" i="41"/>
  <c r="L23" i="40" s="1"/>
  <c r="K26" i="41"/>
  <c r="J26" i="41"/>
  <c r="J23" i="40" s="1"/>
  <c r="I26" i="41"/>
  <c r="H26" i="41"/>
  <c r="H23" i="40" s="1"/>
  <c r="G26" i="41"/>
  <c r="F26" i="41"/>
  <c r="F23" i="40" s="1"/>
  <c r="E26" i="41"/>
  <c r="D26" i="41"/>
  <c r="D23" i="40" s="1"/>
  <c r="C26" i="41"/>
  <c r="N25" i="41"/>
  <c r="M25" i="41"/>
  <c r="M22" i="40" s="1"/>
  <c r="L25" i="41"/>
  <c r="K25" i="41"/>
  <c r="K22" i="40" s="1"/>
  <c r="J25" i="41"/>
  <c r="I25" i="41"/>
  <c r="I22" i="40" s="1"/>
  <c r="H25" i="41"/>
  <c r="G25" i="41"/>
  <c r="G22" i="40" s="1"/>
  <c r="F25" i="41"/>
  <c r="E25" i="41"/>
  <c r="E22" i="40" s="1"/>
  <c r="D25" i="41"/>
  <c r="C25" i="41"/>
  <c r="C22" i="40" s="1"/>
  <c r="N24" i="41"/>
  <c r="N21" i="40" s="1"/>
  <c r="M24" i="41"/>
  <c r="L24" i="41"/>
  <c r="L21" i="40" s="1"/>
  <c r="K24" i="41"/>
  <c r="J24" i="41"/>
  <c r="J21" i="40" s="1"/>
  <c r="I24" i="41"/>
  <c r="H24" i="41"/>
  <c r="H21" i="40" s="1"/>
  <c r="G24" i="41"/>
  <c r="F24" i="41"/>
  <c r="F21" i="40" s="1"/>
  <c r="E24" i="41"/>
  <c r="D24" i="41"/>
  <c r="D21" i="40" s="1"/>
  <c r="C24" i="41"/>
  <c r="N23" i="41"/>
  <c r="M23" i="41"/>
  <c r="M20" i="40" s="1"/>
  <c r="L23" i="41"/>
  <c r="K23" i="41"/>
  <c r="K20" i="40" s="1"/>
  <c r="J23" i="41"/>
  <c r="I23" i="41"/>
  <c r="I20" i="40" s="1"/>
  <c r="H23" i="41"/>
  <c r="G23" i="41"/>
  <c r="G20" i="40" s="1"/>
  <c r="F23" i="41"/>
  <c r="E23" i="41"/>
  <c r="E20" i="40" s="1"/>
  <c r="D23" i="41"/>
  <c r="C23" i="41"/>
  <c r="O23" i="41" s="1"/>
  <c r="N22" i="41"/>
  <c r="N19" i="40" s="1"/>
  <c r="M22" i="41"/>
  <c r="L22" i="41"/>
  <c r="K22" i="41"/>
  <c r="J22" i="41"/>
  <c r="J19" i="40" s="1"/>
  <c r="I22" i="41"/>
  <c r="H22" i="41"/>
  <c r="G22" i="41"/>
  <c r="F22" i="41"/>
  <c r="F19" i="40" s="1"/>
  <c r="E22" i="41"/>
  <c r="D22" i="41"/>
  <c r="C22" i="41"/>
  <c r="O22" i="41" s="1"/>
  <c r="N21" i="41"/>
  <c r="M21" i="41"/>
  <c r="L21" i="41"/>
  <c r="K21" i="41"/>
  <c r="K18" i="40" s="1"/>
  <c r="J21" i="41"/>
  <c r="I21" i="41"/>
  <c r="H21" i="41"/>
  <c r="G21" i="41"/>
  <c r="G18" i="40" s="1"/>
  <c r="F21" i="41"/>
  <c r="E21" i="41"/>
  <c r="D21" i="41"/>
  <c r="C21" i="41"/>
  <c r="C18" i="40" s="1"/>
  <c r="N20" i="41"/>
  <c r="M20" i="41"/>
  <c r="L20" i="41"/>
  <c r="L17" i="40" s="1"/>
  <c r="K20" i="41"/>
  <c r="J20" i="41"/>
  <c r="I20" i="41"/>
  <c r="H20" i="41"/>
  <c r="H17" i="40" s="1"/>
  <c r="G20" i="41"/>
  <c r="F20" i="41"/>
  <c r="E20" i="41"/>
  <c r="D20" i="41"/>
  <c r="D17" i="40" s="1"/>
  <c r="C20" i="41"/>
  <c r="N19" i="41"/>
  <c r="M19" i="41"/>
  <c r="M16" i="40" s="1"/>
  <c r="L19" i="41"/>
  <c r="K19" i="41"/>
  <c r="J19" i="41"/>
  <c r="I19" i="41"/>
  <c r="I16" i="40" s="1"/>
  <c r="H19" i="41"/>
  <c r="G19" i="41"/>
  <c r="F19" i="41"/>
  <c r="E19" i="41"/>
  <c r="E16" i="40" s="1"/>
  <c r="D19" i="41"/>
  <c r="C19" i="41"/>
  <c r="O19" i="41" s="1"/>
  <c r="N18" i="41"/>
  <c r="N15" i="40" s="1"/>
  <c r="M18" i="41"/>
  <c r="L18" i="41"/>
  <c r="L15" i="40" s="1"/>
  <c r="K18" i="41"/>
  <c r="J18" i="41"/>
  <c r="J15" i="40" s="1"/>
  <c r="I18" i="41"/>
  <c r="H18" i="41"/>
  <c r="H15" i="40" s="1"/>
  <c r="G18" i="41"/>
  <c r="F18" i="41"/>
  <c r="F15" i="40" s="1"/>
  <c r="E18" i="41"/>
  <c r="D18" i="41"/>
  <c r="C18" i="41"/>
  <c r="N17" i="41"/>
  <c r="M17" i="41"/>
  <c r="L17" i="41"/>
  <c r="K17" i="41"/>
  <c r="K14" i="40" s="1"/>
  <c r="J17" i="41"/>
  <c r="I17" i="41"/>
  <c r="I14" i="40" s="1"/>
  <c r="H17" i="41"/>
  <c r="G17" i="41"/>
  <c r="G14" i="40" s="1"/>
  <c r="F17" i="41"/>
  <c r="E17" i="41"/>
  <c r="E14" i="40" s="1"/>
  <c r="D17" i="41"/>
  <c r="C17" i="41"/>
  <c r="C14" i="40" s="1"/>
  <c r="N16" i="41"/>
  <c r="M16" i="41"/>
  <c r="L16" i="41"/>
  <c r="L13" i="40" s="1"/>
  <c r="K16" i="41"/>
  <c r="J16" i="41"/>
  <c r="I16" i="41"/>
  <c r="H16" i="41"/>
  <c r="H13" i="40" s="1"/>
  <c r="G16" i="41"/>
  <c r="F16" i="41"/>
  <c r="F13" i="40" s="1"/>
  <c r="E16" i="41"/>
  <c r="D16" i="41"/>
  <c r="D13" i="40" s="1"/>
  <c r="C16" i="41"/>
  <c r="N15" i="41"/>
  <c r="M15" i="41"/>
  <c r="M12" i="40" s="1"/>
  <c r="L15" i="41"/>
  <c r="K15" i="41"/>
  <c r="J15" i="41"/>
  <c r="I15" i="41"/>
  <c r="I12" i="40" s="1"/>
  <c r="H15" i="41"/>
  <c r="G15" i="41"/>
  <c r="F15" i="41"/>
  <c r="E15" i="41"/>
  <c r="E12" i="40" s="1"/>
  <c r="D15" i="41"/>
  <c r="C15" i="41"/>
  <c r="C12" i="40" s="1"/>
  <c r="N14" i="41"/>
  <c r="N11" i="40" s="1"/>
  <c r="M14" i="41"/>
  <c r="L14" i="41"/>
  <c r="K14" i="41"/>
  <c r="J14" i="41"/>
  <c r="J11" i="40" s="1"/>
  <c r="I14" i="41"/>
  <c r="H14" i="41"/>
  <c r="G14" i="41"/>
  <c r="F14" i="41"/>
  <c r="F11" i="40" s="1"/>
  <c r="E14" i="41"/>
  <c r="D14" i="41"/>
  <c r="C14" i="41"/>
  <c r="O14" i="41" s="1"/>
  <c r="N13" i="41"/>
  <c r="M13" i="41"/>
  <c r="L13" i="41"/>
  <c r="K13" i="41"/>
  <c r="K10" i="40" s="1"/>
  <c r="J13" i="41"/>
  <c r="I13" i="41"/>
  <c r="H13" i="41"/>
  <c r="G13" i="41"/>
  <c r="G10" i="40" s="1"/>
  <c r="F13" i="41"/>
  <c r="E13" i="41"/>
  <c r="D13" i="41"/>
  <c r="C13" i="41"/>
  <c r="C10" i="40" s="1"/>
  <c r="N12" i="41"/>
  <c r="M12" i="41"/>
  <c r="L12" i="41"/>
  <c r="L9" i="40" s="1"/>
  <c r="K12" i="41"/>
  <c r="J12" i="41"/>
  <c r="I12" i="41"/>
  <c r="H12" i="41"/>
  <c r="H9" i="40" s="1"/>
  <c r="G12" i="41"/>
  <c r="F12" i="41"/>
  <c r="E12" i="41"/>
  <c r="D12" i="41"/>
  <c r="D9" i="40" s="1"/>
  <c r="C12" i="41"/>
  <c r="N11" i="41"/>
  <c r="M11" i="41"/>
  <c r="M8" i="40" s="1"/>
  <c r="L11" i="41"/>
  <c r="K11" i="41"/>
  <c r="J11" i="41"/>
  <c r="I11" i="41"/>
  <c r="I8" i="40" s="1"/>
  <c r="H11" i="41"/>
  <c r="G11" i="41"/>
  <c r="F11" i="41"/>
  <c r="E11" i="41"/>
  <c r="E8" i="40" s="1"/>
  <c r="D11" i="41"/>
  <c r="C11" i="41"/>
  <c r="N10" i="41"/>
  <c r="M10" i="41"/>
  <c r="L10" i="41"/>
  <c r="L27" i="41" s="1"/>
  <c r="K10" i="41"/>
  <c r="J10" i="41"/>
  <c r="I10" i="41"/>
  <c r="H10" i="41"/>
  <c r="G10" i="41"/>
  <c r="F10" i="41"/>
  <c r="E10" i="41"/>
  <c r="D10" i="41"/>
  <c r="D27" i="41" s="1"/>
  <c r="C10" i="41"/>
  <c r="N9" i="41"/>
  <c r="M9" i="41"/>
  <c r="L9" i="41"/>
  <c r="K9" i="41"/>
  <c r="J9" i="41"/>
  <c r="I9" i="41"/>
  <c r="H9" i="41"/>
  <c r="G9" i="41"/>
  <c r="F9" i="41"/>
  <c r="E9" i="41"/>
  <c r="D9" i="41"/>
  <c r="C9" i="41"/>
  <c r="O9" i="41" s="1"/>
  <c r="N8" i="41"/>
  <c r="N27" i="41" s="1"/>
  <c r="M8" i="41"/>
  <c r="L8" i="41"/>
  <c r="K8" i="41"/>
  <c r="J8" i="41"/>
  <c r="I8" i="41"/>
  <c r="H8" i="41"/>
  <c r="H27" i="41" s="1"/>
  <c r="G8" i="41"/>
  <c r="F8" i="41"/>
  <c r="F27" i="41" s="1"/>
  <c r="E8" i="41"/>
  <c r="D8" i="41"/>
  <c r="C8" i="41"/>
  <c r="N7" i="41"/>
  <c r="M7" i="41"/>
  <c r="L7" i="41"/>
  <c r="K7" i="41"/>
  <c r="J7" i="41"/>
  <c r="I7" i="41"/>
  <c r="H7" i="41"/>
  <c r="G7" i="41"/>
  <c r="F7" i="41"/>
  <c r="E7" i="41"/>
  <c r="D7" i="41"/>
  <c r="C7" i="41"/>
  <c r="B24" i="40"/>
  <c r="M23" i="40"/>
  <c r="K23" i="40"/>
  <c r="I23" i="40"/>
  <c r="G23" i="40"/>
  <c r="E23" i="40"/>
  <c r="C23" i="40"/>
  <c r="N22" i="40"/>
  <c r="L22" i="40"/>
  <c r="J22" i="40"/>
  <c r="H22" i="40"/>
  <c r="F22" i="40"/>
  <c r="D22" i="40"/>
  <c r="M21" i="40"/>
  <c r="K21" i="40"/>
  <c r="I21" i="40"/>
  <c r="G21" i="40"/>
  <c r="E21" i="40"/>
  <c r="C21" i="40"/>
  <c r="N20" i="40"/>
  <c r="L20" i="40"/>
  <c r="J20" i="40"/>
  <c r="H20" i="40"/>
  <c r="F20" i="40"/>
  <c r="D20" i="40"/>
  <c r="M19" i="40"/>
  <c r="L19" i="40"/>
  <c r="K19" i="40"/>
  <c r="I19" i="40"/>
  <c r="H19" i="40"/>
  <c r="G19" i="40"/>
  <c r="E19" i="40"/>
  <c r="D19" i="40"/>
  <c r="C19" i="40"/>
  <c r="N18" i="40"/>
  <c r="M18" i="40"/>
  <c r="L18" i="40"/>
  <c r="J18" i="40"/>
  <c r="I18" i="40"/>
  <c r="H18" i="40"/>
  <c r="F18" i="40"/>
  <c r="E18" i="40"/>
  <c r="D18" i="40"/>
  <c r="N17" i="40"/>
  <c r="M17" i="40"/>
  <c r="K17" i="40"/>
  <c r="J17" i="40"/>
  <c r="I17" i="40"/>
  <c r="G17" i="40"/>
  <c r="F17" i="40"/>
  <c r="E17" i="40"/>
  <c r="C17" i="40"/>
  <c r="N16" i="40"/>
  <c r="L16" i="40"/>
  <c r="K16" i="40"/>
  <c r="J16" i="40"/>
  <c r="H16" i="40"/>
  <c r="G16" i="40"/>
  <c r="F16" i="40"/>
  <c r="D16" i="40"/>
  <c r="C16" i="40"/>
  <c r="M15" i="40"/>
  <c r="K15" i="40"/>
  <c r="I15" i="40"/>
  <c r="G15" i="40"/>
  <c r="E15" i="40"/>
  <c r="O15" i="40" s="1"/>
  <c r="D15" i="40"/>
  <c r="C15" i="40"/>
  <c r="N14" i="40"/>
  <c r="M14" i="40"/>
  <c r="L14" i="40"/>
  <c r="J14" i="40"/>
  <c r="H14" i="40"/>
  <c r="F14" i="40"/>
  <c r="D14" i="40"/>
  <c r="N13" i="40"/>
  <c r="M13" i="40"/>
  <c r="K13" i="40"/>
  <c r="J13" i="40"/>
  <c r="I13" i="40"/>
  <c r="G13" i="40"/>
  <c r="E13" i="40"/>
  <c r="C13" i="40"/>
  <c r="N12" i="40"/>
  <c r="L12" i="40"/>
  <c r="K12" i="40"/>
  <c r="J12" i="40"/>
  <c r="H12" i="40"/>
  <c r="G12" i="40"/>
  <c r="F12" i="40"/>
  <c r="D12" i="40"/>
  <c r="M11" i="40"/>
  <c r="L11" i="40"/>
  <c r="K11" i="40"/>
  <c r="I11" i="40"/>
  <c r="H11" i="40"/>
  <c r="G11" i="40"/>
  <c r="E11" i="40"/>
  <c r="D11" i="40"/>
  <c r="C11" i="40"/>
  <c r="N10" i="40"/>
  <c r="M10" i="40"/>
  <c r="L10" i="40"/>
  <c r="J10" i="40"/>
  <c r="I10" i="40"/>
  <c r="H10" i="40"/>
  <c r="F10" i="40"/>
  <c r="E10" i="40"/>
  <c r="D10" i="40"/>
  <c r="N9" i="40"/>
  <c r="M9" i="40"/>
  <c r="K9" i="40"/>
  <c r="J9" i="40"/>
  <c r="I9" i="40"/>
  <c r="G9" i="40"/>
  <c r="F9" i="40"/>
  <c r="E9" i="40"/>
  <c r="C9" i="40"/>
  <c r="N8" i="40"/>
  <c r="L8" i="40"/>
  <c r="K8" i="40"/>
  <c r="J8" i="40"/>
  <c r="H8" i="40"/>
  <c r="G8" i="40"/>
  <c r="F8" i="40"/>
  <c r="D8" i="40"/>
  <c r="C8" i="40"/>
  <c r="N7" i="40"/>
  <c r="M7" i="40"/>
  <c r="L7" i="40"/>
  <c r="K7" i="40"/>
  <c r="J7" i="40"/>
  <c r="I7" i="40"/>
  <c r="H7" i="40"/>
  <c r="G7" i="40"/>
  <c r="F7" i="40"/>
  <c r="E7" i="40"/>
  <c r="D7" i="40"/>
  <c r="C7" i="40"/>
  <c r="O7" i="40" s="1"/>
  <c r="N6" i="40"/>
  <c r="M6" i="40"/>
  <c r="L6" i="40"/>
  <c r="K6" i="40"/>
  <c r="J6" i="40"/>
  <c r="I6" i="40"/>
  <c r="H6" i="40"/>
  <c r="G6" i="40"/>
  <c r="F6" i="40"/>
  <c r="E6" i="40"/>
  <c r="D6" i="40"/>
  <c r="C6" i="40"/>
  <c r="N5" i="40"/>
  <c r="M5" i="40"/>
  <c r="L5" i="40"/>
  <c r="K5" i="40"/>
  <c r="J5" i="40"/>
  <c r="I5" i="40"/>
  <c r="H5" i="40"/>
  <c r="G5" i="40"/>
  <c r="F5" i="40"/>
  <c r="E5" i="40"/>
  <c r="D5" i="40"/>
  <c r="C5" i="40"/>
  <c r="O5" i="40" s="1"/>
  <c r="N4" i="40"/>
  <c r="M4" i="40"/>
  <c r="L4" i="40"/>
  <c r="K4" i="40"/>
  <c r="J4" i="40"/>
  <c r="I4" i="40"/>
  <c r="H4" i="40"/>
  <c r="G4" i="40"/>
  <c r="F4" i="40"/>
  <c r="E4" i="40"/>
  <c r="D4" i="40"/>
  <c r="C4" i="40"/>
  <c r="L32" i="39"/>
  <c r="L32" i="38" s="1"/>
  <c r="K32" i="39"/>
  <c r="K32" i="38" s="1"/>
  <c r="H32" i="39"/>
  <c r="G32" i="39"/>
  <c r="D32" i="39"/>
  <c r="D32" i="38" s="1"/>
  <c r="C32" i="39"/>
  <c r="C32" i="38" s="1"/>
  <c r="O31" i="39"/>
  <c r="N27" i="39"/>
  <c r="N32" i="39" s="1"/>
  <c r="N32" i="38" s="1"/>
  <c r="M27" i="39"/>
  <c r="M32" i="39" s="1"/>
  <c r="M32" i="38" s="1"/>
  <c r="M23" i="38" s="1"/>
  <c r="L20" i="37" s="1"/>
  <c r="L27" i="39"/>
  <c r="K27" i="39"/>
  <c r="J27" i="39"/>
  <c r="J32" i="39" s="1"/>
  <c r="J32" i="38" s="1"/>
  <c r="I27" i="39"/>
  <c r="I32" i="39" s="1"/>
  <c r="I32" i="38" s="1"/>
  <c r="I19" i="38" s="1"/>
  <c r="H16" i="37" s="1"/>
  <c r="H27" i="39"/>
  <c r="G27" i="39"/>
  <c r="F27" i="39"/>
  <c r="F32" i="39" s="1"/>
  <c r="F32" i="38" s="1"/>
  <c r="E27" i="39"/>
  <c r="E32" i="39" s="1"/>
  <c r="E32" i="38" s="1"/>
  <c r="E23" i="38" s="1"/>
  <c r="D20" i="37" s="1"/>
  <c r="D27" i="39"/>
  <c r="C27" i="39"/>
  <c r="B27" i="39"/>
  <c r="O26" i="39"/>
  <c r="O25" i="39"/>
  <c r="O24" i="39"/>
  <c r="O23" i="39"/>
  <c r="O22" i="39"/>
  <c r="O21" i="39"/>
  <c r="O20" i="39"/>
  <c r="O19" i="39"/>
  <c r="O18" i="39"/>
  <c r="O17" i="39"/>
  <c r="O16" i="39"/>
  <c r="O15" i="39"/>
  <c r="O14" i="39"/>
  <c r="O13" i="39"/>
  <c r="O12" i="39"/>
  <c r="O11" i="39"/>
  <c r="O10" i="39"/>
  <c r="O9" i="39"/>
  <c r="O8" i="39"/>
  <c r="O7" i="39"/>
  <c r="H32" i="38"/>
  <c r="G32" i="38"/>
  <c r="G21" i="38" s="1"/>
  <c r="F18" i="37" s="1"/>
  <c r="B27" i="38"/>
  <c r="N26" i="38"/>
  <c r="M23" i="37" s="1"/>
  <c r="J26" i="38"/>
  <c r="I23" i="37" s="1"/>
  <c r="F26" i="38"/>
  <c r="E23" i="37" s="1"/>
  <c r="H25" i="38"/>
  <c r="G22" i="37" s="1"/>
  <c r="M24" i="38"/>
  <c r="L21" i="37" s="1"/>
  <c r="H24" i="38"/>
  <c r="G21" i="37" s="1"/>
  <c r="E24" i="38"/>
  <c r="D21" i="37" s="1"/>
  <c r="N23" i="38"/>
  <c r="M20" i="37" s="1"/>
  <c r="J23" i="38"/>
  <c r="I20" i="37" s="1"/>
  <c r="F23" i="38"/>
  <c r="E20" i="37" s="1"/>
  <c r="N22" i="38"/>
  <c r="M19" i="37" s="1"/>
  <c r="J22" i="38"/>
  <c r="I19" i="37" s="1"/>
  <c r="G22" i="38"/>
  <c r="F19" i="37" s="1"/>
  <c r="F22" i="38"/>
  <c r="E19" i="37" s="1"/>
  <c r="I20" i="38"/>
  <c r="H17" i="37" s="1"/>
  <c r="H20" i="38"/>
  <c r="G17" i="37" s="1"/>
  <c r="N19" i="38"/>
  <c r="M16" i="37" s="1"/>
  <c r="J19" i="38"/>
  <c r="I16" i="37" s="1"/>
  <c r="F19" i="38"/>
  <c r="E16" i="37" s="1"/>
  <c r="N18" i="38"/>
  <c r="J18" i="38"/>
  <c r="I15" i="37" s="1"/>
  <c r="F18" i="38"/>
  <c r="H17" i="38"/>
  <c r="G14" i="37" s="1"/>
  <c r="M16" i="38"/>
  <c r="L13" i="37" s="1"/>
  <c r="H16" i="38"/>
  <c r="E16" i="38"/>
  <c r="D13" i="37" s="1"/>
  <c r="N15" i="38"/>
  <c r="M12" i="37" s="1"/>
  <c r="J15" i="38"/>
  <c r="I12" i="37" s="1"/>
  <c r="F15" i="38"/>
  <c r="E12" i="37" s="1"/>
  <c r="N14" i="38"/>
  <c r="M11" i="37" s="1"/>
  <c r="J14" i="38"/>
  <c r="G14" i="38"/>
  <c r="F11" i="37" s="1"/>
  <c r="F14" i="38"/>
  <c r="H13" i="38"/>
  <c r="G10" i="37" s="1"/>
  <c r="I12" i="38"/>
  <c r="H9" i="37" s="1"/>
  <c r="H12" i="38"/>
  <c r="G9" i="37" s="1"/>
  <c r="N11" i="38"/>
  <c r="M8" i="37" s="1"/>
  <c r="J11" i="38"/>
  <c r="I8" i="37" s="1"/>
  <c r="F11" i="38"/>
  <c r="E8" i="37" s="1"/>
  <c r="N10" i="38"/>
  <c r="J10" i="38"/>
  <c r="F10" i="38"/>
  <c r="H9" i="38"/>
  <c r="G6" i="37" s="1"/>
  <c r="M8" i="38"/>
  <c r="L5" i="37" s="1"/>
  <c r="H8" i="38"/>
  <c r="E8" i="38"/>
  <c r="D5" i="37" s="1"/>
  <c r="N7" i="38"/>
  <c r="J7" i="38"/>
  <c r="F7" i="38"/>
  <c r="M15" i="37"/>
  <c r="E15" i="37"/>
  <c r="G13" i="37"/>
  <c r="I11" i="37"/>
  <c r="E11" i="37"/>
  <c r="M7" i="37"/>
  <c r="I7" i="37"/>
  <c r="E7" i="37"/>
  <c r="G5" i="37"/>
  <c r="N27" i="36"/>
  <c r="M27" i="36"/>
  <c r="L27" i="36"/>
  <c r="K27" i="36"/>
  <c r="J27" i="36"/>
  <c r="I27" i="36"/>
  <c r="H27" i="36"/>
  <c r="G27" i="36"/>
  <c r="F27" i="36"/>
  <c r="E27" i="36"/>
  <c r="D27" i="36"/>
  <c r="C27" i="36"/>
  <c r="O27" i="36" s="1"/>
  <c r="B27" i="36"/>
  <c r="O26" i="36"/>
  <c r="O25" i="36"/>
  <c r="O24" i="36"/>
  <c r="O23" i="36"/>
  <c r="O22" i="36"/>
  <c r="O21" i="36"/>
  <c r="O20" i="36"/>
  <c r="O19" i="36"/>
  <c r="O18" i="36"/>
  <c r="O17" i="36"/>
  <c r="O16" i="36"/>
  <c r="O15" i="36"/>
  <c r="O14" i="36"/>
  <c r="O13" i="36"/>
  <c r="O12" i="36"/>
  <c r="O11" i="36"/>
  <c r="O10" i="36"/>
  <c r="O9" i="36"/>
  <c r="O8" i="36"/>
  <c r="O7" i="36"/>
  <c r="B27" i="35"/>
  <c r="N26" i="35"/>
  <c r="N23" i="34" s="1"/>
  <c r="M26" i="35"/>
  <c r="M23" i="34" s="1"/>
  <c r="L26" i="35"/>
  <c r="K26" i="35"/>
  <c r="J26" i="35"/>
  <c r="J23" i="34" s="1"/>
  <c r="I26" i="35"/>
  <c r="I23" i="34" s="1"/>
  <c r="H26" i="35"/>
  <c r="G26" i="35"/>
  <c r="F26" i="35"/>
  <c r="F23" i="34" s="1"/>
  <c r="E26" i="35"/>
  <c r="E23" i="34" s="1"/>
  <c r="D26" i="35"/>
  <c r="C26" i="35"/>
  <c r="N25" i="35"/>
  <c r="N22" i="34" s="1"/>
  <c r="M25" i="35"/>
  <c r="M22" i="34" s="1"/>
  <c r="L25" i="35"/>
  <c r="K25" i="35"/>
  <c r="K22" i="34" s="1"/>
  <c r="J25" i="35"/>
  <c r="J22" i="34" s="1"/>
  <c r="I25" i="35"/>
  <c r="H25" i="35"/>
  <c r="G25" i="35"/>
  <c r="G22" i="34" s="1"/>
  <c r="F25" i="35"/>
  <c r="F22" i="34" s="1"/>
  <c r="E25" i="35"/>
  <c r="E22" i="34" s="1"/>
  <c r="D25" i="35"/>
  <c r="C25" i="35"/>
  <c r="C22" i="34" s="1"/>
  <c r="N24" i="35"/>
  <c r="M24" i="35"/>
  <c r="M21" i="34" s="1"/>
  <c r="L24" i="35"/>
  <c r="L21" i="34" s="1"/>
  <c r="K24" i="35"/>
  <c r="K21" i="34" s="1"/>
  <c r="J24" i="35"/>
  <c r="I24" i="35"/>
  <c r="I21" i="34" s="1"/>
  <c r="H24" i="35"/>
  <c r="H21" i="34" s="1"/>
  <c r="G24" i="35"/>
  <c r="G21" i="34" s="1"/>
  <c r="F24" i="35"/>
  <c r="E24" i="35"/>
  <c r="E21" i="34" s="1"/>
  <c r="D24" i="35"/>
  <c r="D21" i="34" s="1"/>
  <c r="C24" i="35"/>
  <c r="C21" i="34" s="1"/>
  <c r="N23" i="35"/>
  <c r="M23" i="35"/>
  <c r="M20" i="34" s="1"/>
  <c r="L23" i="35"/>
  <c r="L20" i="34" s="1"/>
  <c r="K23" i="35"/>
  <c r="J23" i="35"/>
  <c r="I23" i="35"/>
  <c r="I20" i="34" s="1"/>
  <c r="H23" i="35"/>
  <c r="H20" i="34" s="1"/>
  <c r="G23" i="35"/>
  <c r="F23" i="35"/>
  <c r="E23" i="35"/>
  <c r="E20" i="34" s="1"/>
  <c r="D23" i="35"/>
  <c r="D20" i="34" s="1"/>
  <c r="C23" i="35"/>
  <c r="N22" i="35"/>
  <c r="N19" i="34" s="1"/>
  <c r="M22" i="35"/>
  <c r="M19" i="34" s="1"/>
  <c r="L22" i="35"/>
  <c r="K22" i="35"/>
  <c r="J22" i="35"/>
  <c r="J19" i="34" s="1"/>
  <c r="I22" i="35"/>
  <c r="I19" i="34" s="1"/>
  <c r="H22" i="35"/>
  <c r="G22" i="35"/>
  <c r="F22" i="35"/>
  <c r="F19" i="34" s="1"/>
  <c r="E22" i="35"/>
  <c r="E19" i="34" s="1"/>
  <c r="D22" i="35"/>
  <c r="C22" i="35"/>
  <c r="N21" i="35"/>
  <c r="N18" i="34" s="1"/>
  <c r="M21" i="35"/>
  <c r="L21" i="35"/>
  <c r="K21" i="35"/>
  <c r="K18" i="34" s="1"/>
  <c r="J21" i="35"/>
  <c r="J18" i="34" s="1"/>
  <c r="I21" i="35"/>
  <c r="I18" i="34" s="1"/>
  <c r="H21" i="35"/>
  <c r="G21" i="35"/>
  <c r="G18" i="34" s="1"/>
  <c r="F21" i="35"/>
  <c r="F18" i="34" s="1"/>
  <c r="E21" i="35"/>
  <c r="D21" i="35"/>
  <c r="C21" i="35"/>
  <c r="C18" i="34" s="1"/>
  <c r="N20" i="35"/>
  <c r="M20" i="35"/>
  <c r="M17" i="34" s="1"/>
  <c r="L20" i="35"/>
  <c r="L17" i="34" s="1"/>
  <c r="K20" i="35"/>
  <c r="K17" i="34" s="1"/>
  <c r="J20" i="35"/>
  <c r="I20" i="35"/>
  <c r="I17" i="34" s="1"/>
  <c r="H20" i="35"/>
  <c r="H17" i="34" s="1"/>
  <c r="G20" i="35"/>
  <c r="G17" i="34" s="1"/>
  <c r="F20" i="35"/>
  <c r="E20" i="35"/>
  <c r="E17" i="34" s="1"/>
  <c r="D20" i="35"/>
  <c r="D17" i="34" s="1"/>
  <c r="C20" i="35"/>
  <c r="C17" i="34" s="1"/>
  <c r="N19" i="35"/>
  <c r="M19" i="35"/>
  <c r="M16" i="34" s="1"/>
  <c r="L19" i="35"/>
  <c r="L16" i="34" s="1"/>
  <c r="K19" i="35"/>
  <c r="J19" i="35"/>
  <c r="I19" i="35"/>
  <c r="I16" i="34" s="1"/>
  <c r="H19" i="35"/>
  <c r="H16" i="34" s="1"/>
  <c r="G19" i="35"/>
  <c r="F19" i="35"/>
  <c r="E19" i="35"/>
  <c r="E16" i="34" s="1"/>
  <c r="D19" i="35"/>
  <c r="D16" i="34" s="1"/>
  <c r="C19" i="35"/>
  <c r="N18" i="35"/>
  <c r="N15" i="34" s="1"/>
  <c r="M18" i="35"/>
  <c r="M15" i="34" s="1"/>
  <c r="L18" i="35"/>
  <c r="K18" i="35"/>
  <c r="J18" i="35"/>
  <c r="J15" i="34" s="1"/>
  <c r="I18" i="35"/>
  <c r="I15" i="34" s="1"/>
  <c r="H18" i="35"/>
  <c r="G18" i="35"/>
  <c r="F18" i="35"/>
  <c r="F15" i="34" s="1"/>
  <c r="E18" i="35"/>
  <c r="E15" i="34" s="1"/>
  <c r="D18" i="35"/>
  <c r="C18" i="35"/>
  <c r="N17" i="35"/>
  <c r="N14" i="34" s="1"/>
  <c r="M17" i="35"/>
  <c r="M14" i="34" s="1"/>
  <c r="L17" i="35"/>
  <c r="K17" i="35"/>
  <c r="K14" i="34" s="1"/>
  <c r="J17" i="35"/>
  <c r="J14" i="34" s="1"/>
  <c r="I17" i="35"/>
  <c r="H17" i="35"/>
  <c r="G17" i="35"/>
  <c r="G14" i="34" s="1"/>
  <c r="F17" i="35"/>
  <c r="F14" i="34" s="1"/>
  <c r="E17" i="35"/>
  <c r="E14" i="34" s="1"/>
  <c r="D17" i="35"/>
  <c r="C17" i="35"/>
  <c r="C14" i="34" s="1"/>
  <c r="N16" i="35"/>
  <c r="M16" i="35"/>
  <c r="M13" i="34" s="1"/>
  <c r="L16" i="35"/>
  <c r="L13" i="34" s="1"/>
  <c r="K16" i="35"/>
  <c r="K13" i="34" s="1"/>
  <c r="J16" i="35"/>
  <c r="I16" i="35"/>
  <c r="I13" i="34" s="1"/>
  <c r="H16" i="35"/>
  <c r="H13" i="34" s="1"/>
  <c r="G16" i="35"/>
  <c r="G13" i="34" s="1"/>
  <c r="F16" i="35"/>
  <c r="E16" i="35"/>
  <c r="E13" i="34" s="1"/>
  <c r="D16" i="35"/>
  <c r="D13" i="34" s="1"/>
  <c r="C16" i="35"/>
  <c r="C13" i="34" s="1"/>
  <c r="N15" i="35"/>
  <c r="M15" i="35"/>
  <c r="M12" i="34" s="1"/>
  <c r="L15" i="35"/>
  <c r="L12" i="34" s="1"/>
  <c r="K15" i="35"/>
  <c r="J15" i="35"/>
  <c r="I15" i="35"/>
  <c r="I12" i="34" s="1"/>
  <c r="H15" i="35"/>
  <c r="H12" i="34" s="1"/>
  <c r="G15" i="35"/>
  <c r="F15" i="35"/>
  <c r="E15" i="35"/>
  <c r="E12" i="34" s="1"/>
  <c r="D15" i="35"/>
  <c r="D12" i="34" s="1"/>
  <c r="C15" i="35"/>
  <c r="N14" i="35"/>
  <c r="N11" i="34" s="1"/>
  <c r="M14" i="35"/>
  <c r="M11" i="34" s="1"/>
  <c r="L14" i="35"/>
  <c r="K14" i="35"/>
  <c r="J14" i="35"/>
  <c r="J11" i="34" s="1"/>
  <c r="I14" i="35"/>
  <c r="I11" i="34" s="1"/>
  <c r="H14" i="35"/>
  <c r="G14" i="35"/>
  <c r="F14" i="35"/>
  <c r="F11" i="34" s="1"/>
  <c r="E14" i="35"/>
  <c r="E11" i="34" s="1"/>
  <c r="D14" i="35"/>
  <c r="C14" i="35"/>
  <c r="N13" i="35"/>
  <c r="N10" i="34" s="1"/>
  <c r="M13" i="35"/>
  <c r="L13" i="35"/>
  <c r="K13" i="35"/>
  <c r="K10" i="34" s="1"/>
  <c r="J13" i="35"/>
  <c r="J10" i="34" s="1"/>
  <c r="I13" i="35"/>
  <c r="I10" i="34" s="1"/>
  <c r="H13" i="35"/>
  <c r="G13" i="35"/>
  <c r="G10" i="34" s="1"/>
  <c r="F13" i="35"/>
  <c r="F10" i="34" s="1"/>
  <c r="E13" i="35"/>
  <c r="D13" i="35"/>
  <c r="C13" i="35"/>
  <c r="C10" i="34" s="1"/>
  <c r="N12" i="35"/>
  <c r="M12" i="35"/>
  <c r="M9" i="34" s="1"/>
  <c r="L12" i="35"/>
  <c r="L9" i="34" s="1"/>
  <c r="K12" i="35"/>
  <c r="K9" i="34" s="1"/>
  <c r="J12" i="35"/>
  <c r="I12" i="35"/>
  <c r="I9" i="34" s="1"/>
  <c r="H12" i="35"/>
  <c r="H9" i="34" s="1"/>
  <c r="G12" i="35"/>
  <c r="G9" i="34" s="1"/>
  <c r="F12" i="35"/>
  <c r="E12" i="35"/>
  <c r="E9" i="34" s="1"/>
  <c r="D12" i="35"/>
  <c r="D9" i="34" s="1"/>
  <c r="C12" i="35"/>
  <c r="C9" i="34" s="1"/>
  <c r="N11" i="35"/>
  <c r="M11" i="35"/>
  <c r="M8" i="34" s="1"/>
  <c r="L11" i="35"/>
  <c r="L8" i="34" s="1"/>
  <c r="K11" i="35"/>
  <c r="J11" i="35"/>
  <c r="I11" i="35"/>
  <c r="I8" i="34" s="1"/>
  <c r="H11" i="35"/>
  <c r="H8" i="34" s="1"/>
  <c r="G11" i="35"/>
  <c r="F11" i="35"/>
  <c r="E11" i="35"/>
  <c r="E8" i="34" s="1"/>
  <c r="D11" i="35"/>
  <c r="D8" i="34" s="1"/>
  <c r="C11" i="35"/>
  <c r="N10" i="35"/>
  <c r="N7" i="34" s="1"/>
  <c r="M10" i="35"/>
  <c r="M7" i="34" s="1"/>
  <c r="L10" i="35"/>
  <c r="K10" i="35"/>
  <c r="J10" i="35"/>
  <c r="J7" i="34" s="1"/>
  <c r="I10" i="35"/>
  <c r="I7" i="34" s="1"/>
  <c r="H10" i="35"/>
  <c r="G10" i="35"/>
  <c r="F10" i="35"/>
  <c r="F7" i="34" s="1"/>
  <c r="E10" i="35"/>
  <c r="E7" i="34" s="1"/>
  <c r="D10" i="35"/>
  <c r="C10" i="35"/>
  <c r="N9" i="35"/>
  <c r="N6" i="34" s="1"/>
  <c r="M9" i="35"/>
  <c r="M6" i="34" s="1"/>
  <c r="L9" i="35"/>
  <c r="K9" i="35"/>
  <c r="K6" i="34" s="1"/>
  <c r="J9" i="35"/>
  <c r="J6" i="34" s="1"/>
  <c r="I9" i="35"/>
  <c r="H9" i="35"/>
  <c r="G9" i="35"/>
  <c r="G6" i="34" s="1"/>
  <c r="F9" i="35"/>
  <c r="F6" i="34" s="1"/>
  <c r="E9" i="35"/>
  <c r="E6" i="34" s="1"/>
  <c r="D9" i="35"/>
  <c r="C9" i="35"/>
  <c r="C6" i="34" s="1"/>
  <c r="N8" i="35"/>
  <c r="M8" i="35"/>
  <c r="M5" i="34" s="1"/>
  <c r="L8" i="35"/>
  <c r="L5" i="34" s="1"/>
  <c r="K8" i="35"/>
  <c r="K5" i="34" s="1"/>
  <c r="J8" i="35"/>
  <c r="I8" i="35"/>
  <c r="I5" i="34" s="1"/>
  <c r="H8" i="35"/>
  <c r="H5" i="34" s="1"/>
  <c r="G8" i="35"/>
  <c r="G5" i="34" s="1"/>
  <c r="F8" i="35"/>
  <c r="E8" i="35"/>
  <c r="E5" i="34" s="1"/>
  <c r="D8" i="35"/>
  <c r="D5" i="34" s="1"/>
  <c r="C8" i="35"/>
  <c r="C5" i="34" s="1"/>
  <c r="N7" i="35"/>
  <c r="N27" i="35" s="1"/>
  <c r="M7" i="35"/>
  <c r="M4" i="34" s="1"/>
  <c r="L7" i="35"/>
  <c r="L4" i="34" s="1"/>
  <c r="K7" i="35"/>
  <c r="J7" i="35"/>
  <c r="J27" i="35" s="1"/>
  <c r="I7" i="35"/>
  <c r="I4" i="34" s="1"/>
  <c r="H7" i="35"/>
  <c r="H4" i="34" s="1"/>
  <c r="G7" i="35"/>
  <c r="F7" i="35"/>
  <c r="F27" i="35" s="1"/>
  <c r="E7" i="35"/>
  <c r="E4" i="34" s="1"/>
  <c r="D7" i="35"/>
  <c r="D4" i="34" s="1"/>
  <c r="C7" i="35"/>
  <c r="B24" i="34"/>
  <c r="L23" i="34"/>
  <c r="K23" i="34"/>
  <c r="H23" i="34"/>
  <c r="G23" i="34"/>
  <c r="D23" i="34"/>
  <c r="C23" i="34"/>
  <c r="L22" i="34"/>
  <c r="I22" i="34"/>
  <c r="H22" i="34"/>
  <c r="D22" i="34"/>
  <c r="N21" i="34"/>
  <c r="J21" i="34"/>
  <c r="F21" i="34"/>
  <c r="N20" i="34"/>
  <c r="K20" i="34"/>
  <c r="J20" i="34"/>
  <c r="G20" i="34"/>
  <c r="F20" i="34"/>
  <c r="L19" i="34"/>
  <c r="K19" i="34"/>
  <c r="H19" i="34"/>
  <c r="G19" i="34"/>
  <c r="D19" i="34"/>
  <c r="M18" i="34"/>
  <c r="L18" i="34"/>
  <c r="H18" i="34"/>
  <c r="E18" i="34"/>
  <c r="D18" i="34"/>
  <c r="N17" i="34"/>
  <c r="J17" i="34"/>
  <c r="F17" i="34"/>
  <c r="N16" i="34"/>
  <c r="K16" i="34"/>
  <c r="J16" i="34"/>
  <c r="G16" i="34"/>
  <c r="F16" i="34"/>
  <c r="L15" i="34"/>
  <c r="K15" i="34"/>
  <c r="H15" i="34"/>
  <c r="G15" i="34"/>
  <c r="D15" i="34"/>
  <c r="L14" i="34"/>
  <c r="I14" i="34"/>
  <c r="H14" i="34"/>
  <c r="D14" i="34"/>
  <c r="N13" i="34"/>
  <c r="J13" i="34"/>
  <c r="F13" i="34"/>
  <c r="N12" i="34"/>
  <c r="K12" i="34"/>
  <c r="J12" i="34"/>
  <c r="G12" i="34"/>
  <c r="F12" i="34"/>
  <c r="L11" i="34"/>
  <c r="K11" i="34"/>
  <c r="H11" i="34"/>
  <c r="G11" i="34"/>
  <c r="D11" i="34"/>
  <c r="M10" i="34"/>
  <c r="L10" i="34"/>
  <c r="H10" i="34"/>
  <c r="E10" i="34"/>
  <c r="D10" i="34"/>
  <c r="N9" i="34"/>
  <c r="J9" i="34"/>
  <c r="F9" i="34"/>
  <c r="N8" i="34"/>
  <c r="K8" i="34"/>
  <c r="J8" i="34"/>
  <c r="G8" i="34"/>
  <c r="F8" i="34"/>
  <c r="L7" i="34"/>
  <c r="K7" i="34"/>
  <c r="H7" i="34"/>
  <c r="G7" i="34"/>
  <c r="D7" i="34"/>
  <c r="L6" i="34"/>
  <c r="I6" i="34"/>
  <c r="H6" i="34"/>
  <c r="D6" i="34"/>
  <c r="N5" i="34"/>
  <c r="J5" i="34"/>
  <c r="F5" i="34"/>
  <c r="N4" i="34"/>
  <c r="K4" i="34"/>
  <c r="J4" i="34"/>
  <c r="G4" i="34"/>
  <c r="F4" i="34"/>
  <c r="N23" i="33"/>
  <c r="M23" i="33"/>
  <c r="L23" i="33"/>
  <c r="K23" i="33"/>
  <c r="J23" i="33"/>
  <c r="I23" i="33"/>
  <c r="H23" i="33"/>
  <c r="G23" i="33"/>
  <c r="F23" i="33"/>
  <c r="E23" i="33"/>
  <c r="D23" i="33"/>
  <c r="C23" i="33"/>
  <c r="N22" i="33"/>
  <c r="M22" i="33"/>
  <c r="L22" i="33"/>
  <c r="K22" i="33"/>
  <c r="J22" i="33"/>
  <c r="I22" i="33"/>
  <c r="H22" i="33"/>
  <c r="G22" i="33"/>
  <c r="F22" i="33"/>
  <c r="E22" i="33"/>
  <c r="D22" i="33"/>
  <c r="C22" i="33"/>
  <c r="N21" i="33"/>
  <c r="M21" i="33"/>
  <c r="L21" i="33"/>
  <c r="K21" i="33"/>
  <c r="J21" i="33"/>
  <c r="I21" i="33"/>
  <c r="H21" i="33"/>
  <c r="G21" i="33"/>
  <c r="F21" i="33"/>
  <c r="E21" i="33"/>
  <c r="D21" i="33"/>
  <c r="C21" i="33"/>
  <c r="N20" i="33"/>
  <c r="M20" i="33"/>
  <c r="L20" i="33"/>
  <c r="K20" i="33"/>
  <c r="J20" i="33"/>
  <c r="I20" i="33"/>
  <c r="H20" i="33"/>
  <c r="G20" i="33"/>
  <c r="F20" i="33"/>
  <c r="E20" i="33"/>
  <c r="D20" i="33"/>
  <c r="C20" i="33"/>
  <c r="N19" i="33"/>
  <c r="M19" i="33"/>
  <c r="L19" i="33"/>
  <c r="K19" i="33"/>
  <c r="J19" i="33"/>
  <c r="I19" i="33"/>
  <c r="H19" i="33"/>
  <c r="G19" i="33"/>
  <c r="F19" i="33"/>
  <c r="E19" i="33"/>
  <c r="D19" i="33"/>
  <c r="C19" i="33"/>
  <c r="N18" i="33"/>
  <c r="M18" i="33"/>
  <c r="L18" i="33"/>
  <c r="K18" i="33"/>
  <c r="J18" i="33"/>
  <c r="I18" i="33"/>
  <c r="H18" i="33"/>
  <c r="G18" i="33"/>
  <c r="F18" i="33"/>
  <c r="E18" i="33"/>
  <c r="D18" i="33"/>
  <c r="C18" i="33"/>
  <c r="N17" i="33"/>
  <c r="M17" i="33"/>
  <c r="L17" i="33"/>
  <c r="K17" i="33"/>
  <c r="J17" i="33"/>
  <c r="I17" i="33"/>
  <c r="H17" i="33"/>
  <c r="G17" i="33"/>
  <c r="F17" i="33"/>
  <c r="E17" i="33"/>
  <c r="D17" i="33"/>
  <c r="C17" i="33"/>
  <c r="N16" i="33"/>
  <c r="M16" i="33"/>
  <c r="L16" i="33"/>
  <c r="K16" i="33"/>
  <c r="J16" i="33"/>
  <c r="I16" i="33"/>
  <c r="H16" i="33"/>
  <c r="G16" i="33"/>
  <c r="F16" i="33"/>
  <c r="E16" i="33"/>
  <c r="D16" i="33"/>
  <c r="C16" i="33"/>
  <c r="N15" i="33"/>
  <c r="M15" i="33"/>
  <c r="L15" i="33"/>
  <c r="K15" i="33"/>
  <c r="J15" i="33"/>
  <c r="I15" i="33"/>
  <c r="H15" i="33"/>
  <c r="G15" i="33"/>
  <c r="F15" i="33"/>
  <c r="E15" i="33"/>
  <c r="D15" i="33"/>
  <c r="C15" i="33"/>
  <c r="N14" i="33"/>
  <c r="M14" i="33"/>
  <c r="L14" i="33"/>
  <c r="K14" i="33"/>
  <c r="J14" i="33"/>
  <c r="I14" i="33"/>
  <c r="H14" i="33"/>
  <c r="G14" i="33"/>
  <c r="F14" i="33"/>
  <c r="E14" i="33"/>
  <c r="D14" i="33"/>
  <c r="C14" i="33"/>
  <c r="N13" i="33"/>
  <c r="M13" i="33"/>
  <c r="L13" i="33"/>
  <c r="K13" i="33"/>
  <c r="J13" i="33"/>
  <c r="I13" i="33"/>
  <c r="H13" i="33"/>
  <c r="G13" i="33"/>
  <c r="F13" i="33"/>
  <c r="E13" i="33"/>
  <c r="D13" i="33"/>
  <c r="C13" i="33"/>
  <c r="N12" i="33"/>
  <c r="M12" i="33"/>
  <c r="L12" i="33"/>
  <c r="K12" i="33"/>
  <c r="J12" i="33"/>
  <c r="I12" i="33"/>
  <c r="H12" i="33"/>
  <c r="G12" i="33"/>
  <c r="F12" i="33"/>
  <c r="E12" i="33"/>
  <c r="D12" i="33"/>
  <c r="C12" i="33"/>
  <c r="N11" i="33"/>
  <c r="M11" i="33"/>
  <c r="L11" i="33"/>
  <c r="K11" i="33"/>
  <c r="J11" i="33"/>
  <c r="I11" i="33"/>
  <c r="H11" i="33"/>
  <c r="G11" i="33"/>
  <c r="F11" i="33"/>
  <c r="E11" i="33"/>
  <c r="D11" i="33"/>
  <c r="C11" i="33"/>
  <c r="N10" i="33"/>
  <c r="M10" i="33"/>
  <c r="L10" i="33"/>
  <c r="K10" i="33"/>
  <c r="J10" i="33"/>
  <c r="I10" i="33"/>
  <c r="H10" i="33"/>
  <c r="G10" i="33"/>
  <c r="F10" i="33"/>
  <c r="E10" i="33"/>
  <c r="D10" i="33"/>
  <c r="C10" i="33"/>
  <c r="N9" i="33"/>
  <c r="M9" i="33"/>
  <c r="L9" i="33"/>
  <c r="K9" i="33"/>
  <c r="J9" i="33"/>
  <c r="I9" i="33"/>
  <c r="H9" i="33"/>
  <c r="G9" i="33"/>
  <c r="F9" i="33"/>
  <c r="E9" i="33"/>
  <c r="D9" i="33"/>
  <c r="C9" i="33"/>
  <c r="N8" i="33"/>
  <c r="M8" i="33"/>
  <c r="L8" i="33"/>
  <c r="K8" i="33"/>
  <c r="J8" i="33"/>
  <c r="I8" i="33"/>
  <c r="H8" i="33"/>
  <c r="G8" i="33"/>
  <c r="F8" i="33"/>
  <c r="E8" i="33"/>
  <c r="D8" i="33"/>
  <c r="C8" i="33"/>
  <c r="N7" i="33"/>
  <c r="M7" i="33"/>
  <c r="L7" i="33"/>
  <c r="K7" i="33"/>
  <c r="J7" i="33"/>
  <c r="I7" i="33"/>
  <c r="H7" i="33"/>
  <c r="G7" i="33"/>
  <c r="F7" i="33"/>
  <c r="E7" i="33"/>
  <c r="D7" i="33"/>
  <c r="C7" i="33"/>
  <c r="N6" i="33"/>
  <c r="M6" i="33"/>
  <c r="L6" i="33"/>
  <c r="K6" i="33"/>
  <c r="J6" i="33"/>
  <c r="I6" i="33"/>
  <c r="H6" i="33"/>
  <c r="G6" i="33"/>
  <c r="F6" i="33"/>
  <c r="E6" i="33"/>
  <c r="D6" i="33"/>
  <c r="C6" i="33"/>
  <c r="N5" i="33"/>
  <c r="M5" i="33"/>
  <c r="L5" i="33"/>
  <c r="K5" i="33"/>
  <c r="J5" i="33"/>
  <c r="I5" i="33"/>
  <c r="H5" i="33"/>
  <c r="G5" i="33"/>
  <c r="F5" i="33"/>
  <c r="E5" i="33"/>
  <c r="D5" i="33"/>
  <c r="C5" i="33"/>
  <c r="B4" i="33"/>
  <c r="L4" i="33" s="1"/>
  <c r="O29" i="32"/>
  <c r="N23" i="32"/>
  <c r="M23" i="32"/>
  <c r="L23" i="32"/>
  <c r="K23" i="32"/>
  <c r="J23" i="32"/>
  <c r="I23" i="32"/>
  <c r="H23" i="32"/>
  <c r="G23" i="32"/>
  <c r="F23" i="32"/>
  <c r="E23" i="32"/>
  <c r="D23" i="32"/>
  <c r="C23" i="32"/>
  <c r="O23" i="32" s="1"/>
  <c r="N22" i="32"/>
  <c r="M22" i="32"/>
  <c r="L22" i="32"/>
  <c r="K22" i="32"/>
  <c r="J22" i="32"/>
  <c r="I22" i="32"/>
  <c r="H22" i="32"/>
  <c r="G22" i="32"/>
  <c r="F22" i="32"/>
  <c r="E22" i="32"/>
  <c r="D22" i="32"/>
  <c r="C22" i="32"/>
  <c r="O22" i="32" s="1"/>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N7" i="32"/>
  <c r="M7" i="32"/>
  <c r="L7" i="32"/>
  <c r="K7" i="32"/>
  <c r="J7" i="32"/>
  <c r="I7" i="32"/>
  <c r="H7" i="32"/>
  <c r="G7" i="32"/>
  <c r="F7" i="32"/>
  <c r="E7" i="32"/>
  <c r="D7" i="32"/>
  <c r="C7" i="32"/>
  <c r="O7" i="32" s="1"/>
  <c r="N6" i="32"/>
  <c r="M6" i="32"/>
  <c r="L6" i="32"/>
  <c r="K6" i="32"/>
  <c r="J6" i="32"/>
  <c r="I6" i="32"/>
  <c r="H6" i="32"/>
  <c r="G6" i="32"/>
  <c r="F6" i="32"/>
  <c r="E6" i="32"/>
  <c r="D6" i="32"/>
  <c r="C6" i="32"/>
  <c r="O6" i="32" s="1"/>
  <c r="N5" i="32"/>
  <c r="M5" i="32"/>
  <c r="L5" i="32"/>
  <c r="K5" i="32"/>
  <c r="J5" i="32"/>
  <c r="I5" i="32"/>
  <c r="H5" i="32"/>
  <c r="G5" i="32"/>
  <c r="F5" i="32"/>
  <c r="E5" i="32"/>
  <c r="D5" i="32"/>
  <c r="C5" i="32"/>
  <c r="O5" i="32" s="1"/>
  <c r="B4" i="32"/>
  <c r="M4" i="32" s="1"/>
  <c r="M24" i="32" s="1"/>
  <c r="J24" i="34" l="1"/>
  <c r="O7" i="35"/>
  <c r="O10" i="35"/>
  <c r="O11" i="35"/>
  <c r="O14" i="35"/>
  <c r="O15" i="35"/>
  <c r="O18" i="35"/>
  <c r="O19" i="35"/>
  <c r="O22" i="35"/>
  <c r="O23" i="35"/>
  <c r="O26" i="35"/>
  <c r="C7" i="34"/>
  <c r="O7" i="34" s="1"/>
  <c r="C11" i="34"/>
  <c r="O11" i="34" s="1"/>
  <c r="C15" i="34"/>
  <c r="O15" i="34" s="1"/>
  <c r="C19" i="34"/>
  <c r="C4" i="34"/>
  <c r="C8" i="34"/>
  <c r="O8" i="34" s="1"/>
  <c r="C12" i="34"/>
  <c r="O12" i="34" s="1"/>
  <c r="C16" i="34"/>
  <c r="C20" i="34"/>
  <c r="O20" i="34" s="1"/>
  <c r="L8" i="51"/>
  <c r="L5" i="50" s="1"/>
  <c r="D8" i="51"/>
  <c r="D5" i="50" s="1"/>
  <c r="D24" i="51"/>
  <c r="D21" i="50" s="1"/>
  <c r="E19" i="47"/>
  <c r="E16" i="46" s="1"/>
  <c r="H20" i="51"/>
  <c r="H17" i="50" s="1"/>
  <c r="F14" i="51"/>
  <c r="F11" i="50" s="1"/>
  <c r="L24" i="51"/>
  <c r="L21" i="50" s="1"/>
  <c r="J26" i="47"/>
  <c r="D16" i="51"/>
  <c r="D13" i="50" s="1"/>
  <c r="F22" i="51"/>
  <c r="F19" i="50" s="1"/>
  <c r="F24" i="47"/>
  <c r="N10" i="51"/>
  <c r="N7" i="50" s="1"/>
  <c r="N18" i="51"/>
  <c r="N15" i="50" s="1"/>
  <c r="N18" i="47"/>
  <c r="D29" i="44"/>
  <c r="H29" i="44"/>
  <c r="L29" i="44"/>
  <c r="G8" i="47"/>
  <c r="G10" i="47"/>
  <c r="G12" i="47"/>
  <c r="G14" i="47"/>
  <c r="G16" i="47"/>
  <c r="C18" i="47"/>
  <c r="D23" i="47"/>
  <c r="H8" i="51"/>
  <c r="H5" i="50" s="1"/>
  <c r="D12" i="51"/>
  <c r="D9" i="50" s="1"/>
  <c r="N14" i="51"/>
  <c r="N11" i="50" s="1"/>
  <c r="F18" i="51"/>
  <c r="F15" i="50" s="1"/>
  <c r="L20" i="51"/>
  <c r="L17" i="50" s="1"/>
  <c r="H24" i="51"/>
  <c r="H21" i="50" s="1"/>
  <c r="F18" i="47"/>
  <c r="N23" i="47"/>
  <c r="F29" i="44"/>
  <c r="I7" i="47"/>
  <c r="I9" i="47"/>
  <c r="I11" i="47"/>
  <c r="I13" i="47"/>
  <c r="I15" i="47"/>
  <c r="E17" i="47"/>
  <c r="J18" i="47"/>
  <c r="J19" i="47"/>
  <c r="C26" i="47"/>
  <c r="F10" i="51"/>
  <c r="F7" i="50" s="1"/>
  <c r="E23" i="51"/>
  <c r="E20" i="50" s="1"/>
  <c r="E7" i="51"/>
  <c r="E4" i="50" s="1"/>
  <c r="E11" i="51"/>
  <c r="E8" i="50" s="1"/>
  <c r="E15" i="51"/>
  <c r="E12" i="50" s="1"/>
  <c r="E19" i="51"/>
  <c r="E16" i="50" s="1"/>
  <c r="I11" i="51"/>
  <c r="I8" i="50" s="1"/>
  <c r="I15" i="51"/>
  <c r="I12" i="50" s="1"/>
  <c r="I19" i="51"/>
  <c r="I16" i="50" s="1"/>
  <c r="I23" i="51"/>
  <c r="I20" i="50" s="1"/>
  <c r="I7" i="51"/>
  <c r="I4" i="50" s="1"/>
  <c r="I21" i="47"/>
  <c r="M7" i="47"/>
  <c r="M4" i="46" s="1"/>
  <c r="K8" i="47"/>
  <c r="M9" i="47"/>
  <c r="K10" i="47"/>
  <c r="M11" i="47"/>
  <c r="K12" i="47"/>
  <c r="M13" i="47"/>
  <c r="K14" i="47"/>
  <c r="M15" i="47"/>
  <c r="M12" i="46" s="1"/>
  <c r="K16" i="47"/>
  <c r="I17" i="47"/>
  <c r="D18" i="47"/>
  <c r="K18" i="47"/>
  <c r="F19" i="47"/>
  <c r="C20" i="47"/>
  <c r="D21" i="47"/>
  <c r="J21" i="47"/>
  <c r="M17" i="47"/>
  <c r="M14" i="46" s="1"/>
  <c r="H20" i="47"/>
  <c r="H17" i="46" s="1"/>
  <c r="E21" i="47"/>
  <c r="N21" i="47"/>
  <c r="E7" i="47"/>
  <c r="E4" i="46" s="1"/>
  <c r="C8" i="47"/>
  <c r="E9" i="47"/>
  <c r="E6" i="46" s="1"/>
  <c r="C10" i="47"/>
  <c r="E11" i="47"/>
  <c r="E8" i="46" s="1"/>
  <c r="C12" i="47"/>
  <c r="E13" i="47"/>
  <c r="E10" i="46" s="1"/>
  <c r="C14" i="47"/>
  <c r="E15" i="47"/>
  <c r="E12" i="46" s="1"/>
  <c r="C16" i="47"/>
  <c r="D17" i="47"/>
  <c r="F21" i="47"/>
  <c r="K24" i="47"/>
  <c r="D26" i="47"/>
  <c r="L24" i="33"/>
  <c r="O5" i="33"/>
  <c r="O6" i="33"/>
  <c r="O7" i="33"/>
  <c r="O8" i="33"/>
  <c r="O9" i="33"/>
  <c r="O10" i="33"/>
  <c r="O11" i="33"/>
  <c r="O12" i="33"/>
  <c r="O13" i="33"/>
  <c r="O14" i="33"/>
  <c r="O15" i="33"/>
  <c r="O16" i="33"/>
  <c r="O17" i="33"/>
  <c r="O18" i="33"/>
  <c r="O19" i="33"/>
  <c r="O20" i="33"/>
  <c r="O21" i="33"/>
  <c r="O22" i="33"/>
  <c r="O23" i="33"/>
  <c r="K4" i="32"/>
  <c r="K24" i="32" s="1"/>
  <c r="B24" i="32"/>
  <c r="C4" i="32"/>
  <c r="C24" i="32" s="1"/>
  <c r="G4" i="32"/>
  <c r="G24" i="32" s="1"/>
  <c r="M24" i="40"/>
  <c r="I24" i="40"/>
  <c r="O16" i="40"/>
  <c r="O23" i="40"/>
  <c r="O11" i="40"/>
  <c r="O8" i="40"/>
  <c r="O13" i="40"/>
  <c r="O17" i="40"/>
  <c r="O13" i="34"/>
  <c r="O21" i="34"/>
  <c r="O22" i="34"/>
  <c r="O5" i="34"/>
  <c r="O10" i="34"/>
  <c r="O18" i="34"/>
  <c r="O19" i="34"/>
  <c r="O23" i="34"/>
  <c r="D24" i="34"/>
  <c r="H24" i="34"/>
  <c r="L24" i="34"/>
  <c r="O6" i="34"/>
  <c r="O14" i="34"/>
  <c r="F24" i="34"/>
  <c r="N24" i="34"/>
  <c r="E24" i="34"/>
  <c r="I24" i="34"/>
  <c r="M24" i="34"/>
  <c r="O7" i="43"/>
  <c r="O9" i="43"/>
  <c r="O11" i="43"/>
  <c r="O12" i="43"/>
  <c r="H25" i="43"/>
  <c r="H27" i="43" s="1"/>
  <c r="D25" i="43"/>
  <c r="D27" i="43" s="1"/>
  <c r="L25" i="43"/>
  <c r="L27" i="43" s="1"/>
  <c r="O9" i="34"/>
  <c r="K24" i="34"/>
  <c r="O16" i="34"/>
  <c r="C24" i="38"/>
  <c r="C20" i="38"/>
  <c r="C16" i="38"/>
  <c r="C12" i="38"/>
  <c r="C8" i="38"/>
  <c r="C23" i="38"/>
  <c r="C19" i="38"/>
  <c r="C15" i="38"/>
  <c r="C11" i="38"/>
  <c r="C7" i="38"/>
  <c r="C22" i="38"/>
  <c r="C14" i="38"/>
  <c r="C26" i="38"/>
  <c r="C18" i="38"/>
  <c r="C10" i="38"/>
  <c r="C25" i="38"/>
  <c r="C17" i="38"/>
  <c r="C9" i="38"/>
  <c r="C21" i="38"/>
  <c r="C13" i="38"/>
  <c r="K24" i="38"/>
  <c r="J21" i="37" s="1"/>
  <c r="K20" i="38"/>
  <c r="J17" i="37" s="1"/>
  <c r="K16" i="38"/>
  <c r="J13" i="37" s="1"/>
  <c r="K12" i="38"/>
  <c r="J9" i="37" s="1"/>
  <c r="K8" i="38"/>
  <c r="J5" i="37" s="1"/>
  <c r="K23" i="38"/>
  <c r="J20" i="37" s="1"/>
  <c r="K19" i="38"/>
  <c r="J16" i="37" s="1"/>
  <c r="K15" i="38"/>
  <c r="J12" i="37" s="1"/>
  <c r="K11" i="38"/>
  <c r="J8" i="37" s="1"/>
  <c r="K7" i="38"/>
  <c r="K22" i="38"/>
  <c r="J19" i="37" s="1"/>
  <c r="K14" i="38"/>
  <c r="J11" i="37" s="1"/>
  <c r="K26" i="38"/>
  <c r="J23" i="37" s="1"/>
  <c r="K18" i="38"/>
  <c r="J15" i="37" s="1"/>
  <c r="K10" i="38"/>
  <c r="J7" i="37" s="1"/>
  <c r="K25" i="38"/>
  <c r="J22" i="37" s="1"/>
  <c r="K17" i="38"/>
  <c r="J14" i="37" s="1"/>
  <c r="K9" i="38"/>
  <c r="J6" i="37" s="1"/>
  <c r="K21" i="38"/>
  <c r="J18" i="37" s="1"/>
  <c r="K13" i="38"/>
  <c r="J10" i="37" s="1"/>
  <c r="G24" i="34"/>
  <c r="D23" i="38"/>
  <c r="C20" i="37" s="1"/>
  <c r="D19" i="38"/>
  <c r="C16" i="37" s="1"/>
  <c r="D15" i="38"/>
  <c r="C12" i="37" s="1"/>
  <c r="D11" i="38"/>
  <c r="C8" i="37" s="1"/>
  <c r="D7" i="38"/>
  <c r="D26" i="38"/>
  <c r="C23" i="37" s="1"/>
  <c r="D22" i="38"/>
  <c r="C19" i="37" s="1"/>
  <c r="D18" i="38"/>
  <c r="C15" i="37" s="1"/>
  <c r="D14" i="38"/>
  <c r="C11" i="37" s="1"/>
  <c r="D10" i="38"/>
  <c r="C7" i="37" s="1"/>
  <c r="D25" i="38"/>
  <c r="C22" i="37" s="1"/>
  <c r="D17" i="38"/>
  <c r="C14" i="37" s="1"/>
  <c r="D9" i="38"/>
  <c r="C6" i="37" s="1"/>
  <c r="D21" i="38"/>
  <c r="C18" i="37" s="1"/>
  <c r="D13" i="38"/>
  <c r="C10" i="37" s="1"/>
  <c r="D20" i="38"/>
  <c r="C17" i="37" s="1"/>
  <c r="D12" i="38"/>
  <c r="C9" i="37" s="1"/>
  <c r="D24" i="38"/>
  <c r="C21" i="37" s="1"/>
  <c r="D16" i="38"/>
  <c r="C13" i="37" s="1"/>
  <c r="D8" i="38"/>
  <c r="C5" i="37" s="1"/>
  <c r="L23" i="38"/>
  <c r="K20" i="37" s="1"/>
  <c r="L19" i="38"/>
  <c r="K16" i="37" s="1"/>
  <c r="L15" i="38"/>
  <c r="K12" i="37" s="1"/>
  <c r="L11" i="38"/>
  <c r="K8" i="37" s="1"/>
  <c r="L7" i="38"/>
  <c r="L26" i="38"/>
  <c r="K23" i="37" s="1"/>
  <c r="L22" i="38"/>
  <c r="K19" i="37" s="1"/>
  <c r="L18" i="38"/>
  <c r="K15" i="37" s="1"/>
  <c r="L14" i="38"/>
  <c r="K11" i="37" s="1"/>
  <c r="L10" i="38"/>
  <c r="K7" i="37" s="1"/>
  <c r="L25" i="38"/>
  <c r="K22" i="37" s="1"/>
  <c r="L17" i="38"/>
  <c r="K14" i="37" s="1"/>
  <c r="L9" i="38"/>
  <c r="K6" i="37" s="1"/>
  <c r="L21" i="38"/>
  <c r="K18" i="37" s="1"/>
  <c r="L13" i="38"/>
  <c r="K10" i="37" s="1"/>
  <c r="L20" i="38"/>
  <c r="K17" i="37" s="1"/>
  <c r="L12" i="38"/>
  <c r="K9" i="37" s="1"/>
  <c r="L24" i="38"/>
  <c r="K21" i="37" s="1"/>
  <c r="L16" i="38"/>
  <c r="K13" i="37" s="1"/>
  <c r="L8" i="38"/>
  <c r="K5" i="37" s="1"/>
  <c r="F25" i="43"/>
  <c r="F27" i="43" s="1"/>
  <c r="N25" i="43"/>
  <c r="N27" i="43" s="1"/>
  <c r="O17" i="34"/>
  <c r="N4" i="33"/>
  <c r="N24" i="33" s="1"/>
  <c r="O13" i="35"/>
  <c r="F4" i="32"/>
  <c r="F24" i="32" s="1"/>
  <c r="J4" i="32"/>
  <c r="J24" i="32" s="1"/>
  <c r="N4" i="32"/>
  <c r="N24" i="32" s="1"/>
  <c r="E4" i="33"/>
  <c r="E24" i="33" s="1"/>
  <c r="I4" i="33"/>
  <c r="I24" i="33" s="1"/>
  <c r="M4" i="33"/>
  <c r="M24" i="33" s="1"/>
  <c r="O8" i="35"/>
  <c r="O12" i="35"/>
  <c r="O16" i="35"/>
  <c r="O20" i="35"/>
  <c r="O24" i="35"/>
  <c r="C27" i="35"/>
  <c r="G27" i="35"/>
  <c r="K27" i="35"/>
  <c r="I7" i="38"/>
  <c r="G9" i="38"/>
  <c r="F6" i="37" s="1"/>
  <c r="E11" i="38"/>
  <c r="D8" i="37" s="1"/>
  <c r="M11" i="38"/>
  <c r="L8" i="37" s="1"/>
  <c r="I15" i="38"/>
  <c r="H12" i="37" s="1"/>
  <c r="G17" i="38"/>
  <c r="F14" i="37" s="1"/>
  <c r="E19" i="38"/>
  <c r="D16" i="37" s="1"/>
  <c r="M19" i="38"/>
  <c r="L16" i="37" s="1"/>
  <c r="I23" i="38"/>
  <c r="H20" i="37" s="1"/>
  <c r="G25" i="38"/>
  <c r="F22" i="37" s="1"/>
  <c r="O6" i="40"/>
  <c r="C20" i="40"/>
  <c r="O20" i="40" s="1"/>
  <c r="O11" i="41"/>
  <c r="O12" i="40"/>
  <c r="O15" i="41"/>
  <c r="C27" i="44"/>
  <c r="G27" i="44"/>
  <c r="K27" i="44"/>
  <c r="O7" i="44"/>
  <c r="J27" i="44"/>
  <c r="J29" i="44" s="1"/>
  <c r="F4" i="33"/>
  <c r="F24" i="33" s="1"/>
  <c r="J4" i="33"/>
  <c r="J24" i="33" s="1"/>
  <c r="O4" i="34"/>
  <c r="O21" i="35"/>
  <c r="O25" i="35"/>
  <c r="H27" i="35"/>
  <c r="K25" i="43"/>
  <c r="J25" i="43"/>
  <c r="J27" i="43" s="1"/>
  <c r="N27" i="44"/>
  <c r="N29" i="44" s="1"/>
  <c r="H4" i="32"/>
  <c r="H24" i="32" s="1"/>
  <c r="C4" i="33"/>
  <c r="G4" i="33"/>
  <c r="G24" i="33" s="1"/>
  <c r="K4" i="33"/>
  <c r="K24" i="33" s="1"/>
  <c r="B24" i="33"/>
  <c r="E27" i="35"/>
  <c r="I27" i="35"/>
  <c r="M27" i="35"/>
  <c r="E7" i="38"/>
  <c r="M7" i="38"/>
  <c r="I11" i="38"/>
  <c r="H8" i="37" s="1"/>
  <c r="G13" i="38"/>
  <c r="F10" i="37" s="1"/>
  <c r="E15" i="38"/>
  <c r="D12" i="37" s="1"/>
  <c r="M15" i="38"/>
  <c r="L12" i="37" s="1"/>
  <c r="H23" i="38"/>
  <c r="G20" i="37" s="1"/>
  <c r="H19" i="38"/>
  <c r="G16" i="37" s="1"/>
  <c r="H15" i="38"/>
  <c r="G12" i="37" s="1"/>
  <c r="H11" i="38"/>
  <c r="G8" i="37" s="1"/>
  <c r="H7" i="38"/>
  <c r="H26" i="38"/>
  <c r="G23" i="37" s="1"/>
  <c r="H22" i="38"/>
  <c r="G19" i="37" s="1"/>
  <c r="H18" i="38"/>
  <c r="G15" i="37" s="1"/>
  <c r="H14" i="38"/>
  <c r="G11" i="37" s="1"/>
  <c r="H10" i="38"/>
  <c r="G7" i="37" s="1"/>
  <c r="F25" i="38"/>
  <c r="E22" i="37" s="1"/>
  <c r="F21" i="38"/>
  <c r="E18" i="37" s="1"/>
  <c r="F17" i="38"/>
  <c r="E14" i="37" s="1"/>
  <c r="F13" i="38"/>
  <c r="E10" i="37" s="1"/>
  <c r="F9" i="38"/>
  <c r="E6" i="37" s="1"/>
  <c r="F24" i="38"/>
  <c r="E21" i="37" s="1"/>
  <c r="F20" i="38"/>
  <c r="E17" i="37" s="1"/>
  <c r="F16" i="38"/>
  <c r="E13" i="37" s="1"/>
  <c r="F12" i="38"/>
  <c r="E9" i="37" s="1"/>
  <c r="F8" i="38"/>
  <c r="E5" i="37" s="1"/>
  <c r="J25" i="38"/>
  <c r="I22" i="37" s="1"/>
  <c r="J21" i="38"/>
  <c r="I18" i="37" s="1"/>
  <c r="J17" i="38"/>
  <c r="I14" i="37" s="1"/>
  <c r="J13" i="38"/>
  <c r="I10" i="37" s="1"/>
  <c r="J9" i="38"/>
  <c r="I6" i="37" s="1"/>
  <c r="J24" i="38"/>
  <c r="I21" i="37" s="1"/>
  <c r="J20" i="38"/>
  <c r="I17" i="37" s="1"/>
  <c r="J16" i="38"/>
  <c r="I13" i="37" s="1"/>
  <c r="J12" i="38"/>
  <c r="I9" i="37" s="1"/>
  <c r="J8" i="38"/>
  <c r="I5" i="37" s="1"/>
  <c r="N25" i="38"/>
  <c r="M22" i="37" s="1"/>
  <c r="N21" i="38"/>
  <c r="M18" i="37" s="1"/>
  <c r="N17" i="38"/>
  <c r="M14" i="37" s="1"/>
  <c r="N13" i="38"/>
  <c r="M10" i="37" s="1"/>
  <c r="N9" i="38"/>
  <c r="M6" i="37" s="1"/>
  <c r="N24" i="38"/>
  <c r="M21" i="37" s="1"/>
  <c r="N20" i="38"/>
  <c r="M17" i="37" s="1"/>
  <c r="N16" i="38"/>
  <c r="M13" i="37" s="1"/>
  <c r="N12" i="38"/>
  <c r="M9" i="37" s="1"/>
  <c r="N8" i="38"/>
  <c r="M5" i="37" s="1"/>
  <c r="F24" i="40"/>
  <c r="J24" i="40"/>
  <c r="N24" i="40"/>
  <c r="C13" i="43"/>
  <c r="O13" i="43" s="1"/>
  <c r="O19" i="44"/>
  <c r="O9" i="35"/>
  <c r="O17" i="35"/>
  <c r="D27" i="35"/>
  <c r="L27" i="35"/>
  <c r="I4" i="37"/>
  <c r="G24" i="38"/>
  <c r="F21" i="37" s="1"/>
  <c r="G20" i="38"/>
  <c r="F17" i="37" s="1"/>
  <c r="G16" i="38"/>
  <c r="F13" i="37" s="1"/>
  <c r="G12" i="38"/>
  <c r="F9" i="37" s="1"/>
  <c r="G8" i="38"/>
  <c r="F5" i="37" s="1"/>
  <c r="G23" i="38"/>
  <c r="F20" i="37" s="1"/>
  <c r="G19" i="38"/>
  <c r="F16" i="37" s="1"/>
  <c r="G15" i="38"/>
  <c r="F12" i="37" s="1"/>
  <c r="G11" i="38"/>
  <c r="F8" i="37" s="1"/>
  <c r="G7" i="38"/>
  <c r="E26" i="38"/>
  <c r="D23" i="37" s="1"/>
  <c r="E22" i="38"/>
  <c r="D19" i="37" s="1"/>
  <c r="E18" i="38"/>
  <c r="D15" i="37" s="1"/>
  <c r="E14" i="38"/>
  <c r="D11" i="37" s="1"/>
  <c r="E10" i="38"/>
  <c r="D7" i="37" s="1"/>
  <c r="E25" i="38"/>
  <c r="D22" i="37" s="1"/>
  <c r="E21" i="38"/>
  <c r="D18" i="37" s="1"/>
  <c r="E17" i="38"/>
  <c r="D14" i="37" s="1"/>
  <c r="E13" i="38"/>
  <c r="D10" i="37" s="1"/>
  <c r="E9" i="38"/>
  <c r="D6" i="37" s="1"/>
  <c r="I26" i="38"/>
  <c r="H23" i="37" s="1"/>
  <c r="I22" i="38"/>
  <c r="H19" i="37" s="1"/>
  <c r="I18" i="38"/>
  <c r="H15" i="37" s="1"/>
  <c r="I14" i="38"/>
  <c r="H11" i="37" s="1"/>
  <c r="I10" i="38"/>
  <c r="H7" i="37" s="1"/>
  <c r="I25" i="38"/>
  <c r="H22" i="37" s="1"/>
  <c r="I21" i="38"/>
  <c r="H18" i="37" s="1"/>
  <c r="I17" i="38"/>
  <c r="H14" i="37" s="1"/>
  <c r="I13" i="38"/>
  <c r="H10" i="37" s="1"/>
  <c r="I9" i="38"/>
  <c r="H6" i="37" s="1"/>
  <c r="M26" i="38"/>
  <c r="L23" i="37" s="1"/>
  <c r="M22" i="38"/>
  <c r="L19" i="37" s="1"/>
  <c r="M18" i="38"/>
  <c r="L15" i="37" s="1"/>
  <c r="M14" i="38"/>
  <c r="L11" i="37" s="1"/>
  <c r="M10" i="38"/>
  <c r="L7" i="37" s="1"/>
  <c r="M25" i="38"/>
  <c r="L22" i="37" s="1"/>
  <c r="M21" i="38"/>
  <c r="L18" i="37" s="1"/>
  <c r="M17" i="38"/>
  <c r="L14" i="37" s="1"/>
  <c r="M13" i="38"/>
  <c r="L10" i="37" s="1"/>
  <c r="M9" i="38"/>
  <c r="L6" i="37" s="1"/>
  <c r="E24" i="40"/>
  <c r="G25" i="43"/>
  <c r="G27" i="43" s="1"/>
  <c r="O5" i="43"/>
  <c r="D4" i="32"/>
  <c r="D24" i="32" s="1"/>
  <c r="L4" i="32"/>
  <c r="L24" i="32" s="1"/>
  <c r="E4" i="32"/>
  <c r="E24" i="32" s="1"/>
  <c r="I4" i="32"/>
  <c r="I24" i="32" s="1"/>
  <c r="D4" i="33"/>
  <c r="D24" i="33" s="1"/>
  <c r="H4" i="33"/>
  <c r="H24" i="33" s="1"/>
  <c r="O31" i="36"/>
  <c r="O32" i="36" s="1"/>
  <c r="E4" i="37"/>
  <c r="M4" i="37"/>
  <c r="N27" i="38"/>
  <c r="I8" i="38"/>
  <c r="H5" i="37" s="1"/>
  <c r="G10" i="38"/>
  <c r="F7" i="37" s="1"/>
  <c r="E12" i="38"/>
  <c r="D9" i="37" s="1"/>
  <c r="M12" i="38"/>
  <c r="L9" i="37" s="1"/>
  <c r="I16" i="38"/>
  <c r="H13" i="37" s="1"/>
  <c r="G18" i="38"/>
  <c r="F15" i="37" s="1"/>
  <c r="E20" i="38"/>
  <c r="D17" i="37" s="1"/>
  <c r="M20" i="38"/>
  <c r="L17" i="37" s="1"/>
  <c r="H21" i="38"/>
  <c r="G18" i="37" s="1"/>
  <c r="I24" i="38"/>
  <c r="H21" i="37" s="1"/>
  <c r="G26" i="38"/>
  <c r="F23" i="37" s="1"/>
  <c r="O27" i="39"/>
  <c r="O32" i="39" s="1"/>
  <c r="O32" i="38" s="1"/>
  <c r="G24" i="40"/>
  <c r="K24" i="40"/>
  <c r="O4" i="40"/>
  <c r="O9" i="40"/>
  <c r="O19" i="40"/>
  <c r="O21" i="40"/>
  <c r="C27" i="41"/>
  <c r="G27" i="41"/>
  <c r="K27" i="41"/>
  <c r="O7" i="41"/>
  <c r="J27" i="41"/>
  <c r="O17" i="43"/>
  <c r="O12" i="41"/>
  <c r="O10" i="40"/>
  <c r="O13" i="41"/>
  <c r="O20" i="41"/>
  <c r="O18" i="40"/>
  <c r="O21" i="41"/>
  <c r="O10" i="43"/>
  <c r="O18" i="43"/>
  <c r="O12" i="44"/>
  <c r="O20" i="44"/>
  <c r="D32" i="48"/>
  <c r="D33" i="48"/>
  <c r="I33" i="48"/>
  <c r="I32" i="48"/>
  <c r="O30" i="48"/>
  <c r="O31" i="48" s="1"/>
  <c r="D24" i="40"/>
  <c r="H24" i="40"/>
  <c r="L24" i="40"/>
  <c r="O8" i="41"/>
  <c r="O16" i="41"/>
  <c r="O14" i="40"/>
  <c r="O17" i="41"/>
  <c r="O24" i="41"/>
  <c r="O22" i="40"/>
  <c r="O25" i="41"/>
  <c r="O27" i="42"/>
  <c r="O6" i="43"/>
  <c r="O14" i="43"/>
  <c r="O22" i="43"/>
  <c r="K27" i="43"/>
  <c r="O26" i="43"/>
  <c r="O8" i="44"/>
  <c r="O16" i="44"/>
  <c r="O24" i="44"/>
  <c r="C29" i="44"/>
  <c r="G29" i="44"/>
  <c r="K29" i="44"/>
  <c r="O28" i="44"/>
  <c r="E27" i="41"/>
  <c r="I27" i="41"/>
  <c r="M27" i="41"/>
  <c r="O10" i="41"/>
  <c r="O18" i="41"/>
  <c r="O26" i="41"/>
  <c r="O31" i="42"/>
  <c r="E25" i="43"/>
  <c r="E27" i="43" s="1"/>
  <c r="I25" i="43"/>
  <c r="I27" i="43" s="1"/>
  <c r="M25" i="43"/>
  <c r="M27" i="43" s="1"/>
  <c r="O8" i="43"/>
  <c r="O16" i="43"/>
  <c r="O24" i="43"/>
  <c r="E27" i="44"/>
  <c r="E29" i="44" s="1"/>
  <c r="I27" i="44"/>
  <c r="I29" i="44" s="1"/>
  <c r="M27" i="44"/>
  <c r="M29" i="44" s="1"/>
  <c r="O10" i="44"/>
  <c r="O18" i="44"/>
  <c r="O26" i="44"/>
  <c r="N33" i="45"/>
  <c r="O33" i="45" s="1"/>
  <c r="K25" i="47"/>
  <c r="G25" i="47"/>
  <c r="C25" i="47"/>
  <c r="J25" i="47"/>
  <c r="E25" i="47"/>
  <c r="N25" i="47"/>
  <c r="I25" i="47"/>
  <c r="D25" i="47"/>
  <c r="L25" i="47"/>
  <c r="L22" i="46" s="1"/>
  <c r="F25" i="47"/>
  <c r="H25" i="47"/>
  <c r="H22" i="46" s="1"/>
  <c r="M25" i="47"/>
  <c r="O28" i="45"/>
  <c r="O29" i="45" s="1"/>
  <c r="M22" i="47"/>
  <c r="M19" i="46" s="1"/>
  <c r="I22" i="47"/>
  <c r="E22" i="47"/>
  <c r="J22" i="47"/>
  <c r="D22" i="47"/>
  <c r="N22" i="47"/>
  <c r="H22" i="47"/>
  <c r="H19" i="46" s="1"/>
  <c r="C22" i="47"/>
  <c r="K22" i="47"/>
  <c r="F22" i="47"/>
  <c r="J33" i="48"/>
  <c r="J32" i="48"/>
  <c r="G22" i="47"/>
  <c r="M24" i="48"/>
  <c r="M20" i="48"/>
  <c r="M16" i="48"/>
  <c r="M13" i="46" s="1"/>
  <c r="M12" i="48"/>
  <c r="M9" i="46" s="1"/>
  <c r="M8" i="48"/>
  <c r="M5" i="46" s="1"/>
  <c r="M26" i="48"/>
  <c r="M22" i="48"/>
  <c r="M18" i="48"/>
  <c r="M14" i="48"/>
  <c r="M11" i="46" s="1"/>
  <c r="M10" i="48"/>
  <c r="M7" i="46" s="1"/>
  <c r="M25" i="48"/>
  <c r="M21" i="48"/>
  <c r="M17" i="48"/>
  <c r="M13" i="48"/>
  <c r="M10" i="46" s="1"/>
  <c r="M23" i="48"/>
  <c r="M11" i="48"/>
  <c r="M8" i="46" s="1"/>
  <c r="M19" i="48"/>
  <c r="M9" i="48"/>
  <c r="M6" i="46" s="1"/>
  <c r="M27" i="48"/>
  <c r="D7" i="47"/>
  <c r="H7" i="47"/>
  <c r="L7" i="47"/>
  <c r="F8" i="47"/>
  <c r="J8" i="47"/>
  <c r="N8" i="47"/>
  <c r="D9" i="47"/>
  <c r="H9" i="47"/>
  <c r="H6" i="46" s="1"/>
  <c r="L9" i="47"/>
  <c r="L6" i="46" s="1"/>
  <c r="F10" i="47"/>
  <c r="J10" i="47"/>
  <c r="N10" i="47"/>
  <c r="D11" i="47"/>
  <c r="H11" i="47"/>
  <c r="H8" i="46" s="1"/>
  <c r="L11" i="47"/>
  <c r="L8" i="46" s="1"/>
  <c r="F12" i="47"/>
  <c r="J12" i="47"/>
  <c r="N12" i="47"/>
  <c r="D13" i="47"/>
  <c r="H13" i="47"/>
  <c r="H10" i="46" s="1"/>
  <c r="L13" i="47"/>
  <c r="F14" i="47"/>
  <c r="J14" i="47"/>
  <c r="N14" i="47"/>
  <c r="D15" i="47"/>
  <c r="H15" i="47"/>
  <c r="H12" i="46" s="1"/>
  <c r="L15" i="47"/>
  <c r="L12" i="46" s="1"/>
  <c r="F16" i="47"/>
  <c r="J16" i="47"/>
  <c r="N16" i="47"/>
  <c r="H17" i="47"/>
  <c r="L17" i="47"/>
  <c r="M20" i="47"/>
  <c r="M17" i="46" s="1"/>
  <c r="I20" i="47"/>
  <c r="E20" i="47"/>
  <c r="G20" i="47"/>
  <c r="L20" i="47"/>
  <c r="L17" i="46" s="1"/>
  <c r="K23" i="47"/>
  <c r="G23" i="47"/>
  <c r="C23" i="47"/>
  <c r="H23" i="47"/>
  <c r="H20" i="46" s="1"/>
  <c r="M23" i="47"/>
  <c r="M20" i="46" s="1"/>
  <c r="D24" i="47"/>
  <c r="H26" i="47"/>
  <c r="H23" i="46" s="1"/>
  <c r="N26" i="47"/>
  <c r="C33" i="48"/>
  <c r="C32" i="48"/>
  <c r="E24" i="48"/>
  <c r="E20" i="48"/>
  <c r="E16" i="48"/>
  <c r="E12" i="48"/>
  <c r="E8" i="48"/>
  <c r="E26" i="48"/>
  <c r="E22" i="48"/>
  <c r="E18" i="48"/>
  <c r="E14" i="48"/>
  <c r="E10" i="48"/>
  <c r="E25" i="48"/>
  <c r="E21" i="48"/>
  <c r="E17" i="48"/>
  <c r="F33" i="48"/>
  <c r="F32" i="48"/>
  <c r="N33" i="48"/>
  <c r="N32" i="48"/>
  <c r="F7" i="47"/>
  <c r="J7" i="47"/>
  <c r="N7" i="47"/>
  <c r="D8" i="47"/>
  <c r="H8" i="47"/>
  <c r="H5" i="46" s="1"/>
  <c r="L8" i="47"/>
  <c r="L5" i="46" s="1"/>
  <c r="F9" i="47"/>
  <c r="J9" i="47"/>
  <c r="N9" i="47"/>
  <c r="D10" i="47"/>
  <c r="H10" i="47"/>
  <c r="H7" i="46" s="1"/>
  <c r="L10" i="47"/>
  <c r="L7" i="46" s="1"/>
  <c r="F11" i="47"/>
  <c r="J11" i="47"/>
  <c r="N11" i="47"/>
  <c r="D12" i="47"/>
  <c r="H12" i="47"/>
  <c r="H9" i="46" s="1"/>
  <c r="L12" i="47"/>
  <c r="L9" i="46" s="1"/>
  <c r="F13" i="47"/>
  <c r="J13" i="47"/>
  <c r="N13" i="47"/>
  <c r="D14" i="47"/>
  <c r="H14" i="47"/>
  <c r="H11" i="46" s="1"/>
  <c r="L14" i="47"/>
  <c r="L11" i="46" s="1"/>
  <c r="F15" i="47"/>
  <c r="J15" i="47"/>
  <c r="N15" i="47"/>
  <c r="D16" i="47"/>
  <c r="H16" i="47"/>
  <c r="H13" i="46" s="1"/>
  <c r="L16" i="47"/>
  <c r="L13" i="46" s="1"/>
  <c r="F17" i="47"/>
  <c r="J17" i="47"/>
  <c r="N17" i="47"/>
  <c r="K19" i="47"/>
  <c r="G19" i="47"/>
  <c r="C19" i="47"/>
  <c r="H19" i="47"/>
  <c r="H16" i="46" s="1"/>
  <c r="M19" i="47"/>
  <c r="M16" i="46" s="1"/>
  <c r="D20" i="47"/>
  <c r="J20" i="47"/>
  <c r="E23" i="47"/>
  <c r="J23" i="47"/>
  <c r="M24" i="47"/>
  <c r="M21" i="46" s="1"/>
  <c r="I24" i="47"/>
  <c r="E24" i="47"/>
  <c r="G24" i="47"/>
  <c r="L24" i="47"/>
  <c r="L21" i="46" s="1"/>
  <c r="F26" i="47"/>
  <c r="B27" i="47"/>
  <c r="K33" i="48"/>
  <c r="K32" i="48"/>
  <c r="C24" i="51"/>
  <c r="C20" i="51"/>
  <c r="C16" i="51"/>
  <c r="C12" i="51"/>
  <c r="C8" i="51"/>
  <c r="C23" i="51"/>
  <c r="C19" i="51"/>
  <c r="C15" i="51"/>
  <c r="C11" i="51"/>
  <c r="C7" i="51"/>
  <c r="C26" i="51"/>
  <c r="C22" i="51"/>
  <c r="C18" i="51"/>
  <c r="C14" i="51"/>
  <c r="C10" i="51"/>
  <c r="C25" i="51"/>
  <c r="C9" i="51"/>
  <c r="C21" i="51"/>
  <c r="C13" i="51"/>
  <c r="C17" i="51"/>
  <c r="G24" i="51"/>
  <c r="G21" i="50" s="1"/>
  <c r="G20" i="51"/>
  <c r="G17" i="50" s="1"/>
  <c r="G16" i="51"/>
  <c r="G13" i="50" s="1"/>
  <c r="G12" i="51"/>
  <c r="G9" i="50" s="1"/>
  <c r="G8" i="51"/>
  <c r="G5" i="50" s="1"/>
  <c r="G23" i="51"/>
  <c r="G20" i="50" s="1"/>
  <c r="G19" i="51"/>
  <c r="G16" i="50" s="1"/>
  <c r="G15" i="51"/>
  <c r="G12" i="50" s="1"/>
  <c r="G11" i="51"/>
  <c r="G8" i="50" s="1"/>
  <c r="G7" i="51"/>
  <c r="G26" i="51"/>
  <c r="G23" i="50" s="1"/>
  <c r="G22" i="51"/>
  <c r="G19" i="50" s="1"/>
  <c r="G18" i="51"/>
  <c r="G15" i="50" s="1"/>
  <c r="G14" i="51"/>
  <c r="G11" i="50" s="1"/>
  <c r="G10" i="51"/>
  <c r="G7" i="50" s="1"/>
  <c r="G21" i="51"/>
  <c r="G18" i="50" s="1"/>
  <c r="G17" i="51"/>
  <c r="G14" i="50" s="1"/>
  <c r="G25" i="51"/>
  <c r="G22" i="50" s="1"/>
  <c r="G9" i="51"/>
  <c r="G6" i="50" s="1"/>
  <c r="G13" i="51"/>
  <c r="G10" i="50" s="1"/>
  <c r="K24" i="51"/>
  <c r="K21" i="50" s="1"/>
  <c r="K20" i="51"/>
  <c r="K17" i="50" s="1"/>
  <c r="K16" i="51"/>
  <c r="K13" i="50" s="1"/>
  <c r="K12" i="51"/>
  <c r="K9" i="50" s="1"/>
  <c r="K8" i="51"/>
  <c r="K5" i="50" s="1"/>
  <c r="K23" i="51"/>
  <c r="K20" i="50" s="1"/>
  <c r="K19" i="51"/>
  <c r="K16" i="50" s="1"/>
  <c r="K15" i="51"/>
  <c r="K12" i="50" s="1"/>
  <c r="K11" i="51"/>
  <c r="K8" i="50" s="1"/>
  <c r="K7" i="51"/>
  <c r="K26" i="51"/>
  <c r="K23" i="50" s="1"/>
  <c r="K22" i="51"/>
  <c r="K19" i="50" s="1"/>
  <c r="K18" i="51"/>
  <c r="K15" i="50" s="1"/>
  <c r="K14" i="51"/>
  <c r="K11" i="50" s="1"/>
  <c r="K10" i="51"/>
  <c r="K7" i="50" s="1"/>
  <c r="K17" i="51"/>
  <c r="K14" i="50" s="1"/>
  <c r="K13" i="51"/>
  <c r="K10" i="50" s="1"/>
  <c r="K21" i="51"/>
  <c r="K18" i="50" s="1"/>
  <c r="K25" i="51"/>
  <c r="K22" i="50" s="1"/>
  <c r="K9" i="51"/>
  <c r="K6" i="50" s="1"/>
  <c r="O30" i="51"/>
  <c r="M26" i="51"/>
  <c r="M23" i="50" s="1"/>
  <c r="M22" i="51"/>
  <c r="M19" i="50" s="1"/>
  <c r="M18" i="51"/>
  <c r="M15" i="50" s="1"/>
  <c r="M14" i="51"/>
  <c r="M11" i="50" s="1"/>
  <c r="M10" i="51"/>
  <c r="M7" i="50" s="1"/>
  <c r="M25" i="51"/>
  <c r="M22" i="50" s="1"/>
  <c r="M21" i="51"/>
  <c r="M18" i="50" s="1"/>
  <c r="M17" i="51"/>
  <c r="M14" i="50" s="1"/>
  <c r="M13" i="51"/>
  <c r="M10" i="50" s="1"/>
  <c r="M9" i="51"/>
  <c r="M6" i="50" s="1"/>
  <c r="M24" i="51"/>
  <c r="M21" i="50" s="1"/>
  <c r="M20" i="51"/>
  <c r="M17" i="50" s="1"/>
  <c r="M16" i="51"/>
  <c r="M13" i="50" s="1"/>
  <c r="M12" i="51"/>
  <c r="M9" i="50" s="1"/>
  <c r="M8" i="51"/>
  <c r="M5" i="50" s="1"/>
  <c r="M23" i="51"/>
  <c r="M20" i="50" s="1"/>
  <c r="M7" i="51"/>
  <c r="M19" i="51"/>
  <c r="M16" i="50" s="1"/>
  <c r="M11" i="51"/>
  <c r="M8" i="50" s="1"/>
  <c r="M15" i="51"/>
  <c r="M12" i="50" s="1"/>
  <c r="C7" i="47"/>
  <c r="G7" i="47"/>
  <c r="E8" i="47"/>
  <c r="E5" i="46" s="1"/>
  <c r="I8" i="47"/>
  <c r="C9" i="47"/>
  <c r="G9" i="47"/>
  <c r="E10" i="47"/>
  <c r="E7" i="46" s="1"/>
  <c r="I10" i="47"/>
  <c r="C11" i="47"/>
  <c r="G11" i="47"/>
  <c r="E12" i="47"/>
  <c r="E9" i="46" s="1"/>
  <c r="I12" i="47"/>
  <c r="C13" i="47"/>
  <c r="G13" i="47"/>
  <c r="E14" i="47"/>
  <c r="E11" i="46" s="1"/>
  <c r="I14" i="47"/>
  <c r="C15" i="47"/>
  <c r="G15" i="47"/>
  <c r="E16" i="47"/>
  <c r="E13" i="46" s="1"/>
  <c r="I16" i="47"/>
  <c r="C17" i="47"/>
  <c r="G17" i="47"/>
  <c r="M18" i="47"/>
  <c r="M15" i="46" s="1"/>
  <c r="I18" i="47"/>
  <c r="E18" i="47"/>
  <c r="G18" i="47"/>
  <c r="L18" i="47"/>
  <c r="L15" i="46" s="1"/>
  <c r="D19" i="47"/>
  <c r="I19" i="47"/>
  <c r="N19" i="47"/>
  <c r="F20" i="47"/>
  <c r="K20" i="47"/>
  <c r="K21" i="47"/>
  <c r="G21" i="47"/>
  <c r="C21" i="47"/>
  <c r="H21" i="47"/>
  <c r="M21" i="47"/>
  <c r="F23" i="47"/>
  <c r="L23" i="47"/>
  <c r="L20" i="46" s="1"/>
  <c r="C24" i="47"/>
  <c r="H24" i="47"/>
  <c r="H21" i="46" s="1"/>
  <c r="N24" i="47"/>
  <c r="M26" i="47"/>
  <c r="M23" i="46" s="1"/>
  <c r="I26" i="47"/>
  <c r="E26" i="47"/>
  <c r="E23" i="46" s="1"/>
  <c r="G26" i="47"/>
  <c r="L26" i="47"/>
  <c r="L23" i="46" s="1"/>
  <c r="E23" i="48"/>
  <c r="L33" i="48"/>
  <c r="G33" i="48"/>
  <c r="G32" i="48"/>
  <c r="H13" i="48"/>
  <c r="H27" i="48" s="1"/>
  <c r="L13" i="48"/>
  <c r="L27" i="48" s="1"/>
  <c r="H17" i="48"/>
  <c r="L17" i="48"/>
  <c r="H21" i="48"/>
  <c r="L21" i="48"/>
  <c r="L18" i="46" s="1"/>
  <c r="F25" i="51"/>
  <c r="F22" i="50" s="1"/>
  <c r="F21" i="51"/>
  <c r="F18" i="50" s="1"/>
  <c r="F17" i="51"/>
  <c r="F14" i="50" s="1"/>
  <c r="F13" i="51"/>
  <c r="F10" i="50" s="1"/>
  <c r="F9" i="51"/>
  <c r="F6" i="50" s="1"/>
  <c r="F24" i="51"/>
  <c r="F21" i="50" s="1"/>
  <c r="F20" i="51"/>
  <c r="F17" i="50" s="1"/>
  <c r="F16" i="51"/>
  <c r="F13" i="50" s="1"/>
  <c r="F12" i="51"/>
  <c r="F9" i="50" s="1"/>
  <c r="F8" i="51"/>
  <c r="F5" i="50" s="1"/>
  <c r="F23" i="51"/>
  <c r="F20" i="50" s="1"/>
  <c r="F19" i="51"/>
  <c r="F16" i="50" s="1"/>
  <c r="F15" i="51"/>
  <c r="F12" i="50" s="1"/>
  <c r="F11" i="51"/>
  <c r="F8" i="50" s="1"/>
  <c r="F7" i="51"/>
  <c r="J32" i="51"/>
  <c r="N25" i="51"/>
  <c r="N22" i="50" s="1"/>
  <c r="N21" i="51"/>
  <c r="N18" i="50" s="1"/>
  <c r="N17" i="51"/>
  <c r="N14" i="50" s="1"/>
  <c r="N13" i="51"/>
  <c r="N10" i="50" s="1"/>
  <c r="N9" i="51"/>
  <c r="N6" i="50" s="1"/>
  <c r="N24" i="51"/>
  <c r="N21" i="50" s="1"/>
  <c r="N20" i="51"/>
  <c r="N17" i="50" s="1"/>
  <c r="N16" i="51"/>
  <c r="N13" i="50" s="1"/>
  <c r="N12" i="51"/>
  <c r="N9" i="50" s="1"/>
  <c r="N8" i="51"/>
  <c r="N5" i="50" s="1"/>
  <c r="N23" i="51"/>
  <c r="N20" i="50" s="1"/>
  <c r="N19" i="51"/>
  <c r="N16" i="50" s="1"/>
  <c r="N15" i="51"/>
  <c r="N12" i="50" s="1"/>
  <c r="N11" i="51"/>
  <c r="N8" i="50" s="1"/>
  <c r="N7" i="51"/>
  <c r="I26" i="51"/>
  <c r="I23" i="50" s="1"/>
  <c r="I22" i="51"/>
  <c r="I19" i="50" s="1"/>
  <c r="I18" i="51"/>
  <c r="I15" i="50" s="1"/>
  <c r="I14" i="51"/>
  <c r="I11" i="50" s="1"/>
  <c r="I10" i="51"/>
  <c r="I7" i="50" s="1"/>
  <c r="I25" i="51"/>
  <c r="I22" i="50" s="1"/>
  <c r="I21" i="51"/>
  <c r="I18" i="50" s="1"/>
  <c r="I17" i="51"/>
  <c r="I14" i="50" s="1"/>
  <c r="I13" i="51"/>
  <c r="I10" i="50" s="1"/>
  <c r="I9" i="51"/>
  <c r="I6" i="50" s="1"/>
  <c r="I24" i="51"/>
  <c r="I21" i="50" s="1"/>
  <c r="I20" i="51"/>
  <c r="I17" i="50" s="1"/>
  <c r="I16" i="51"/>
  <c r="I13" i="50" s="1"/>
  <c r="I12" i="51"/>
  <c r="I9" i="50" s="1"/>
  <c r="I8" i="51"/>
  <c r="I5" i="50" s="1"/>
  <c r="D23" i="51"/>
  <c r="D20" i="50" s="1"/>
  <c r="D19" i="51"/>
  <c r="D16" i="50" s="1"/>
  <c r="D15" i="51"/>
  <c r="D12" i="50" s="1"/>
  <c r="D11" i="51"/>
  <c r="D8" i="50" s="1"/>
  <c r="D7" i="51"/>
  <c r="D26" i="51"/>
  <c r="D23" i="50" s="1"/>
  <c r="D22" i="51"/>
  <c r="D19" i="50" s="1"/>
  <c r="D18" i="51"/>
  <c r="D15" i="50" s="1"/>
  <c r="D14" i="51"/>
  <c r="D11" i="50" s="1"/>
  <c r="D10" i="51"/>
  <c r="D7" i="50" s="1"/>
  <c r="D25" i="51"/>
  <c r="D22" i="50" s="1"/>
  <c r="D21" i="51"/>
  <c r="D18" i="50" s="1"/>
  <c r="D17" i="51"/>
  <c r="D14" i="50" s="1"/>
  <c r="D13" i="51"/>
  <c r="D10" i="50" s="1"/>
  <c r="D9" i="51"/>
  <c r="D6" i="50" s="1"/>
  <c r="H23" i="51"/>
  <c r="H20" i="50" s="1"/>
  <c r="H19" i="51"/>
  <c r="H16" i="50" s="1"/>
  <c r="H15" i="51"/>
  <c r="H12" i="50" s="1"/>
  <c r="H11" i="51"/>
  <c r="H8" i="50" s="1"/>
  <c r="H7" i="51"/>
  <c r="H26" i="51"/>
  <c r="H23" i="50" s="1"/>
  <c r="H22" i="51"/>
  <c r="H19" i="50" s="1"/>
  <c r="H18" i="51"/>
  <c r="H15" i="50" s="1"/>
  <c r="H14" i="51"/>
  <c r="H11" i="50" s="1"/>
  <c r="H10" i="51"/>
  <c r="H7" i="50" s="1"/>
  <c r="H25" i="51"/>
  <c r="H22" i="50" s="1"/>
  <c r="H21" i="51"/>
  <c r="H18" i="50" s="1"/>
  <c r="H17" i="51"/>
  <c r="H14" i="50" s="1"/>
  <c r="H13" i="51"/>
  <c r="H10" i="50" s="1"/>
  <c r="H9" i="51"/>
  <c r="H6" i="50" s="1"/>
  <c r="L23" i="51"/>
  <c r="L20" i="50" s="1"/>
  <c r="L19" i="51"/>
  <c r="L16" i="50" s="1"/>
  <c r="L15" i="51"/>
  <c r="L12" i="50" s="1"/>
  <c r="L11" i="51"/>
  <c r="L8" i="50" s="1"/>
  <c r="L7" i="51"/>
  <c r="L26" i="51"/>
  <c r="L23" i="50" s="1"/>
  <c r="L22" i="51"/>
  <c r="L19" i="50" s="1"/>
  <c r="L18" i="51"/>
  <c r="L15" i="50" s="1"/>
  <c r="L14" i="51"/>
  <c r="L11" i="50" s="1"/>
  <c r="L10" i="51"/>
  <c r="L7" i="50" s="1"/>
  <c r="L25" i="51"/>
  <c r="L22" i="50" s="1"/>
  <c r="L21" i="51"/>
  <c r="L18" i="50" s="1"/>
  <c r="L17" i="51"/>
  <c r="L14" i="50" s="1"/>
  <c r="L13" i="51"/>
  <c r="L10" i="50" s="1"/>
  <c r="L9" i="51"/>
  <c r="L6" i="50" s="1"/>
  <c r="E26" i="51"/>
  <c r="E23" i="50" s="1"/>
  <c r="E22" i="51"/>
  <c r="E19" i="50" s="1"/>
  <c r="E18" i="51"/>
  <c r="E15" i="50" s="1"/>
  <c r="E14" i="51"/>
  <c r="E11" i="50" s="1"/>
  <c r="E10" i="51"/>
  <c r="E7" i="50" s="1"/>
  <c r="E25" i="51"/>
  <c r="E22" i="50" s="1"/>
  <c r="E21" i="51"/>
  <c r="E18" i="50" s="1"/>
  <c r="E17" i="51"/>
  <c r="E14" i="50" s="1"/>
  <c r="E13" i="51"/>
  <c r="E10" i="50" s="1"/>
  <c r="E9" i="51"/>
  <c r="E6" i="50" s="1"/>
  <c r="E24" i="51"/>
  <c r="E21" i="50" s="1"/>
  <c r="E20" i="51"/>
  <c r="E17" i="50" s="1"/>
  <c r="E16" i="51"/>
  <c r="E13" i="50" s="1"/>
  <c r="E12" i="51"/>
  <c r="E9" i="50" s="1"/>
  <c r="E8" i="51"/>
  <c r="E5" i="50" s="1"/>
  <c r="O31" i="51"/>
  <c r="O27" i="52"/>
  <c r="F29" i="20"/>
  <c r="C24" i="34" l="1"/>
  <c r="E14" i="46"/>
  <c r="I27" i="47"/>
  <c r="O16" i="47"/>
  <c r="O8" i="47"/>
  <c r="E18" i="46"/>
  <c r="O24" i="32"/>
  <c r="O31" i="32" s="1"/>
  <c r="C24" i="40"/>
  <c r="O24" i="40"/>
  <c r="I24" i="50"/>
  <c r="E24" i="50"/>
  <c r="C14" i="50"/>
  <c r="C19" i="50"/>
  <c r="C12" i="50"/>
  <c r="J6" i="46"/>
  <c r="F9" i="46"/>
  <c r="J23" i="48"/>
  <c r="J19" i="48"/>
  <c r="J16" i="46" s="1"/>
  <c r="J15" i="48"/>
  <c r="J11" i="48"/>
  <c r="J8" i="46" s="1"/>
  <c r="J7" i="48"/>
  <c r="J25" i="48"/>
  <c r="J21" i="48"/>
  <c r="J18" i="46" s="1"/>
  <c r="J17" i="48"/>
  <c r="J13" i="48"/>
  <c r="J9" i="48"/>
  <c r="J24" i="48"/>
  <c r="J21" i="46" s="1"/>
  <c r="J20" i="48"/>
  <c r="J17" i="46" s="1"/>
  <c r="J16" i="48"/>
  <c r="J18" i="48"/>
  <c r="J15" i="46" s="1"/>
  <c r="J14" i="48"/>
  <c r="J8" i="48"/>
  <c r="J5" i="46" s="1"/>
  <c r="J22" i="48"/>
  <c r="J12" i="48"/>
  <c r="J10" i="48"/>
  <c r="J26" i="48"/>
  <c r="J23" i="46" s="1"/>
  <c r="O26" i="47"/>
  <c r="F20" i="46"/>
  <c r="G14" i="46"/>
  <c r="G6" i="46"/>
  <c r="G27" i="47"/>
  <c r="C10" i="50"/>
  <c r="C7" i="50"/>
  <c r="C23" i="50"/>
  <c r="C16" i="50"/>
  <c r="C13" i="50"/>
  <c r="K26" i="48"/>
  <c r="K23" i="46" s="1"/>
  <c r="K22" i="48"/>
  <c r="K18" i="48"/>
  <c r="K15" i="46" s="1"/>
  <c r="K14" i="48"/>
  <c r="K11" i="46" s="1"/>
  <c r="K10" i="48"/>
  <c r="K7" i="46" s="1"/>
  <c r="K24" i="48"/>
  <c r="K21" i="46" s="1"/>
  <c r="K20" i="48"/>
  <c r="K16" i="48"/>
  <c r="K13" i="46" s="1"/>
  <c r="K12" i="48"/>
  <c r="K9" i="46" s="1"/>
  <c r="K8" i="48"/>
  <c r="K5" i="46" s="1"/>
  <c r="K23" i="48"/>
  <c r="K19" i="48"/>
  <c r="K16" i="46" s="1"/>
  <c r="K15" i="48"/>
  <c r="K12" i="46" s="1"/>
  <c r="K17" i="48"/>
  <c r="K14" i="46" s="1"/>
  <c r="K7" i="48"/>
  <c r="K13" i="48"/>
  <c r="K10" i="46" s="1"/>
  <c r="K9" i="48"/>
  <c r="K6" i="46" s="1"/>
  <c r="K21" i="48"/>
  <c r="K11" i="48"/>
  <c r="K8" i="46" s="1"/>
  <c r="K25" i="48"/>
  <c r="K22" i="46" s="1"/>
  <c r="N12" i="46"/>
  <c r="N27" i="47"/>
  <c r="C26" i="48"/>
  <c r="C22" i="48"/>
  <c r="C18" i="48"/>
  <c r="C14" i="48"/>
  <c r="C10" i="48"/>
  <c r="C24" i="48"/>
  <c r="C20" i="48"/>
  <c r="C16" i="48"/>
  <c r="C12" i="48"/>
  <c r="C8" i="48"/>
  <c r="C23" i="48"/>
  <c r="O23" i="48" s="1"/>
  <c r="C19" i="48"/>
  <c r="C15" i="48"/>
  <c r="C25" i="48"/>
  <c r="C13" i="48"/>
  <c r="C21" i="48"/>
  <c r="C7" i="48"/>
  <c r="C11" i="48"/>
  <c r="C17" i="48"/>
  <c r="O17" i="48" s="1"/>
  <c r="C9" i="48"/>
  <c r="E17" i="46"/>
  <c r="H14" i="46"/>
  <c r="J11" i="46"/>
  <c r="J7" i="46"/>
  <c r="L27" i="47"/>
  <c r="L4" i="46"/>
  <c r="G19" i="46"/>
  <c r="O22" i="47"/>
  <c r="C19" i="46"/>
  <c r="J19" i="46"/>
  <c r="M27" i="47"/>
  <c r="O27" i="41"/>
  <c r="M24" i="37"/>
  <c r="J27" i="38"/>
  <c r="D4" i="37"/>
  <c r="D24" i="37" s="1"/>
  <c r="E27" i="38"/>
  <c r="C25" i="43"/>
  <c r="C27" i="43" s="1"/>
  <c r="H4" i="37"/>
  <c r="H24" i="37" s="1"/>
  <c r="I27" i="38"/>
  <c r="K27" i="38"/>
  <c r="J4" i="37"/>
  <c r="J24" i="37" s="1"/>
  <c r="B6" i="37"/>
  <c r="N6" i="37" s="1"/>
  <c r="O9" i="38"/>
  <c r="B15" i="37"/>
  <c r="N15" i="37" s="1"/>
  <c r="O18" i="38"/>
  <c r="C27" i="38"/>
  <c r="O7" i="38"/>
  <c r="B4" i="37"/>
  <c r="O23" i="38"/>
  <c r="B20" i="37"/>
  <c r="N20" i="37" s="1"/>
  <c r="O20" i="38"/>
  <c r="B17" i="37"/>
  <c r="N17" i="37" s="1"/>
  <c r="L4" i="50"/>
  <c r="L24" i="50" s="1"/>
  <c r="L27" i="51"/>
  <c r="G26" i="48"/>
  <c r="G23" i="46" s="1"/>
  <c r="G22" i="48"/>
  <c r="G18" i="48"/>
  <c r="G15" i="46" s="1"/>
  <c r="G14" i="48"/>
  <c r="G11" i="46" s="1"/>
  <c r="G10" i="48"/>
  <c r="G7" i="46" s="1"/>
  <c r="G24" i="48"/>
  <c r="G20" i="48"/>
  <c r="G17" i="46" s="1"/>
  <c r="G16" i="48"/>
  <c r="G13" i="46" s="1"/>
  <c r="G12" i="48"/>
  <c r="G9" i="46" s="1"/>
  <c r="G8" i="48"/>
  <c r="G5" i="46" s="1"/>
  <c r="G23" i="48"/>
  <c r="G20" i="46" s="1"/>
  <c r="G19" i="48"/>
  <c r="G16" i="46" s="1"/>
  <c r="G15" i="48"/>
  <c r="G12" i="46" s="1"/>
  <c r="G21" i="48"/>
  <c r="G18" i="46" s="1"/>
  <c r="G9" i="48"/>
  <c r="G17" i="48"/>
  <c r="G11" i="48"/>
  <c r="G8" i="46" s="1"/>
  <c r="G25" i="48"/>
  <c r="G22" i="46" s="1"/>
  <c r="G7" i="48"/>
  <c r="G13" i="48"/>
  <c r="G10" i="46" s="1"/>
  <c r="F17" i="46"/>
  <c r="O19" i="47"/>
  <c r="C16" i="46"/>
  <c r="D4" i="50"/>
  <c r="D24" i="50" s="1"/>
  <c r="D27" i="51"/>
  <c r="J25" i="51"/>
  <c r="J22" i="50" s="1"/>
  <c r="J21" i="51"/>
  <c r="J18" i="50" s="1"/>
  <c r="J17" i="51"/>
  <c r="J14" i="50" s="1"/>
  <c r="J13" i="51"/>
  <c r="J10" i="50" s="1"/>
  <c r="J9" i="51"/>
  <c r="J6" i="50" s="1"/>
  <c r="J24" i="51"/>
  <c r="J21" i="50" s="1"/>
  <c r="J20" i="51"/>
  <c r="J17" i="50" s="1"/>
  <c r="J16" i="51"/>
  <c r="J13" i="50" s="1"/>
  <c r="J12" i="51"/>
  <c r="J9" i="50" s="1"/>
  <c r="J8" i="51"/>
  <c r="J5" i="50" s="1"/>
  <c r="J23" i="51"/>
  <c r="J20" i="50" s="1"/>
  <c r="J19" i="51"/>
  <c r="J16" i="50" s="1"/>
  <c r="J15" i="51"/>
  <c r="J12" i="50" s="1"/>
  <c r="J11" i="51"/>
  <c r="J8" i="50" s="1"/>
  <c r="J7" i="51"/>
  <c r="O7" i="51" s="1"/>
  <c r="J22" i="51"/>
  <c r="J19" i="50" s="1"/>
  <c r="J18" i="51"/>
  <c r="J15" i="50" s="1"/>
  <c r="J26" i="51"/>
  <c r="J23" i="50" s="1"/>
  <c r="J10" i="51"/>
  <c r="J7" i="50" s="1"/>
  <c r="J14" i="51"/>
  <c r="J11" i="50" s="1"/>
  <c r="M18" i="46"/>
  <c r="K18" i="46"/>
  <c r="O18" i="47"/>
  <c r="E15" i="46"/>
  <c r="O17" i="47"/>
  <c r="O15" i="47"/>
  <c r="C12" i="46"/>
  <c r="O13" i="47"/>
  <c r="O11" i="47"/>
  <c r="C8" i="46"/>
  <c r="O9" i="47"/>
  <c r="C6" i="46"/>
  <c r="C27" i="47"/>
  <c r="O7" i="47"/>
  <c r="C4" i="46"/>
  <c r="M27" i="51"/>
  <c r="M4" i="50"/>
  <c r="M24" i="50" s="1"/>
  <c r="K27" i="51"/>
  <c r="K4" i="50"/>
  <c r="K24" i="50" s="1"/>
  <c r="G27" i="51"/>
  <c r="G4" i="50"/>
  <c r="G24" i="50" s="1"/>
  <c r="C18" i="50"/>
  <c r="O18" i="50" s="1"/>
  <c r="C11" i="50"/>
  <c r="O11" i="50" s="1"/>
  <c r="C27" i="51"/>
  <c r="C4" i="50"/>
  <c r="O23" i="51"/>
  <c r="C20" i="50"/>
  <c r="C17" i="50"/>
  <c r="G21" i="46"/>
  <c r="J20" i="46"/>
  <c r="J12" i="46"/>
  <c r="O14" i="47"/>
  <c r="O10" i="47"/>
  <c r="J27" i="47"/>
  <c r="J4" i="46"/>
  <c r="F23" i="48"/>
  <c r="F19" i="48"/>
  <c r="F16" i="46" s="1"/>
  <c r="F15" i="48"/>
  <c r="F11" i="48"/>
  <c r="F7" i="48"/>
  <c r="F25" i="48"/>
  <c r="F22" i="46" s="1"/>
  <c r="F21" i="48"/>
  <c r="F18" i="46" s="1"/>
  <c r="F17" i="48"/>
  <c r="F14" i="46" s="1"/>
  <c r="F13" i="48"/>
  <c r="F10" i="46" s="1"/>
  <c r="F9" i="48"/>
  <c r="F6" i="46" s="1"/>
  <c r="F24" i="48"/>
  <c r="F21" i="46" s="1"/>
  <c r="F20" i="48"/>
  <c r="F16" i="48"/>
  <c r="F13" i="46" s="1"/>
  <c r="F26" i="48"/>
  <c r="F23" i="46" s="1"/>
  <c r="F10" i="48"/>
  <c r="F22" i="48"/>
  <c r="F12" i="48"/>
  <c r="F14" i="48"/>
  <c r="F11" i="46" s="1"/>
  <c r="F8" i="48"/>
  <c r="F18" i="48"/>
  <c r="F15" i="46" s="1"/>
  <c r="K20" i="46"/>
  <c r="I17" i="46"/>
  <c r="F7" i="46"/>
  <c r="H27" i="47"/>
  <c r="H4" i="46"/>
  <c r="K27" i="47"/>
  <c r="E19" i="46"/>
  <c r="E22" i="46"/>
  <c r="O20" i="47"/>
  <c r="F27" i="38"/>
  <c r="O25" i="43"/>
  <c r="O27" i="43" s="1"/>
  <c r="I24" i="37"/>
  <c r="B14" i="37"/>
  <c r="N14" i="37" s="1"/>
  <c r="O17" i="38"/>
  <c r="B23" i="37"/>
  <c r="N23" i="37" s="1"/>
  <c r="O26" i="38"/>
  <c r="O11" i="38"/>
  <c r="B8" i="37"/>
  <c r="N8" i="37" s="1"/>
  <c r="O8" i="38"/>
  <c r="B5" i="37"/>
  <c r="N5" i="37" s="1"/>
  <c r="O24" i="38"/>
  <c r="B21" i="37"/>
  <c r="N21" i="37" s="1"/>
  <c r="H27" i="51"/>
  <c r="H4" i="50"/>
  <c r="H24" i="50" s="1"/>
  <c r="I27" i="51"/>
  <c r="N27" i="51"/>
  <c r="N4" i="50"/>
  <c r="N24" i="50" s="1"/>
  <c r="F27" i="51"/>
  <c r="F4" i="50"/>
  <c r="F24" i="50" s="1"/>
  <c r="O24" i="47"/>
  <c r="C21" i="46"/>
  <c r="H18" i="46"/>
  <c r="K17" i="46"/>
  <c r="D16" i="46"/>
  <c r="I9" i="46"/>
  <c r="O32" i="51"/>
  <c r="C6" i="50"/>
  <c r="C15" i="50"/>
  <c r="O15" i="50" s="1"/>
  <c r="C8" i="50"/>
  <c r="C5" i="50"/>
  <c r="C21" i="50"/>
  <c r="E21" i="46"/>
  <c r="E20" i="46"/>
  <c r="N14" i="46"/>
  <c r="F12" i="46"/>
  <c r="F8" i="46"/>
  <c r="F4" i="46"/>
  <c r="F27" i="47"/>
  <c r="J13" i="46"/>
  <c r="L10" i="46"/>
  <c r="J9" i="46"/>
  <c r="D8" i="46"/>
  <c r="D27" i="47"/>
  <c r="F19" i="46"/>
  <c r="M22" i="46"/>
  <c r="D22" i="46"/>
  <c r="J22" i="46"/>
  <c r="O12" i="47"/>
  <c r="O33" i="48"/>
  <c r="O32" i="48"/>
  <c r="D25" i="48"/>
  <c r="D21" i="48"/>
  <c r="D18" i="46" s="1"/>
  <c r="D17" i="48"/>
  <c r="D14" i="46" s="1"/>
  <c r="D13" i="48"/>
  <c r="D10" i="46" s="1"/>
  <c r="D9" i="48"/>
  <c r="D6" i="46" s="1"/>
  <c r="D23" i="48"/>
  <c r="D20" i="46" s="1"/>
  <c r="D19" i="48"/>
  <c r="D15" i="48"/>
  <c r="D12" i="46" s="1"/>
  <c r="D11" i="48"/>
  <c r="D7" i="48"/>
  <c r="D4" i="46" s="1"/>
  <c r="D26" i="48"/>
  <c r="D23" i="46" s="1"/>
  <c r="D22" i="48"/>
  <c r="D19" i="46" s="1"/>
  <c r="D18" i="48"/>
  <c r="D15" i="46" s="1"/>
  <c r="D14" i="48"/>
  <c r="D11" i="46" s="1"/>
  <c r="D20" i="48"/>
  <c r="D17" i="46" s="1"/>
  <c r="D8" i="48"/>
  <c r="D5" i="46" s="1"/>
  <c r="D16" i="48"/>
  <c r="D13" i="46" s="1"/>
  <c r="D10" i="48"/>
  <c r="D7" i="46" s="1"/>
  <c r="D24" i="48"/>
  <c r="D21" i="46" s="1"/>
  <c r="D12" i="48"/>
  <c r="D9" i="46" s="1"/>
  <c r="E24" i="37"/>
  <c r="G27" i="38"/>
  <c r="F4" i="37"/>
  <c r="F24" i="37" s="1"/>
  <c r="H27" i="38"/>
  <c r="G4" i="37"/>
  <c r="G24" i="37" s="1"/>
  <c r="O4" i="32"/>
  <c r="O27" i="44"/>
  <c r="O29" i="44" s="1"/>
  <c r="O13" i="38"/>
  <c r="B10" i="37"/>
  <c r="N10" i="37" s="1"/>
  <c r="B22" i="37"/>
  <c r="N22" i="37" s="1"/>
  <c r="O25" i="38"/>
  <c r="B11" i="37"/>
  <c r="N11" i="37" s="1"/>
  <c r="O14" i="38"/>
  <c r="O15" i="38"/>
  <c r="B12" i="37"/>
  <c r="N12" i="37" s="1"/>
  <c r="O12" i="38"/>
  <c r="B9" i="37"/>
  <c r="N9" i="37" s="1"/>
  <c r="O24" i="34"/>
  <c r="E27" i="51"/>
  <c r="O21" i="47"/>
  <c r="C18" i="46"/>
  <c r="C22" i="50"/>
  <c r="O22" i="50" s="1"/>
  <c r="O12" i="51"/>
  <c r="C9" i="50"/>
  <c r="J14" i="46"/>
  <c r="J10" i="46"/>
  <c r="N23" i="48"/>
  <c r="N20" i="46" s="1"/>
  <c r="N19" i="48"/>
  <c r="N16" i="46" s="1"/>
  <c r="N15" i="48"/>
  <c r="N11" i="48"/>
  <c r="N8" i="46" s="1"/>
  <c r="N7" i="48"/>
  <c r="N4" i="46" s="1"/>
  <c r="N25" i="48"/>
  <c r="N22" i="46" s="1"/>
  <c r="N21" i="48"/>
  <c r="N18" i="46" s="1"/>
  <c r="N17" i="48"/>
  <c r="N13" i="48"/>
  <c r="N10" i="46" s="1"/>
  <c r="N9" i="48"/>
  <c r="N6" i="46" s="1"/>
  <c r="N24" i="48"/>
  <c r="N21" i="46" s="1"/>
  <c r="N20" i="48"/>
  <c r="N17" i="46" s="1"/>
  <c r="N16" i="48"/>
  <c r="N13" i="46" s="1"/>
  <c r="N26" i="48"/>
  <c r="N23" i="46" s="1"/>
  <c r="N10" i="48"/>
  <c r="N22" i="48"/>
  <c r="N19" i="46" s="1"/>
  <c r="N12" i="48"/>
  <c r="N9" i="46" s="1"/>
  <c r="N14" i="48"/>
  <c r="N11" i="46" s="1"/>
  <c r="N8" i="48"/>
  <c r="N5" i="46" s="1"/>
  <c r="N18" i="48"/>
  <c r="N15" i="46" s="1"/>
  <c r="E27" i="48"/>
  <c r="O23" i="47"/>
  <c r="L14" i="46"/>
  <c r="N7" i="46"/>
  <c r="F5" i="46"/>
  <c r="K19" i="46"/>
  <c r="O25" i="47"/>
  <c r="C22" i="46"/>
  <c r="I24" i="48"/>
  <c r="I21" i="46" s="1"/>
  <c r="I20" i="48"/>
  <c r="I16" i="48"/>
  <c r="I13" i="46" s="1"/>
  <c r="I12" i="48"/>
  <c r="I8" i="48"/>
  <c r="I5" i="46" s="1"/>
  <c r="I26" i="48"/>
  <c r="I23" i="46" s="1"/>
  <c r="I22" i="48"/>
  <c r="I19" i="46" s="1"/>
  <c r="I18" i="48"/>
  <c r="I15" i="46" s="1"/>
  <c r="I14" i="48"/>
  <c r="I11" i="46" s="1"/>
  <c r="I10" i="48"/>
  <c r="I7" i="46" s="1"/>
  <c r="I25" i="48"/>
  <c r="I22" i="46" s="1"/>
  <c r="I21" i="48"/>
  <c r="I18" i="46" s="1"/>
  <c r="I17" i="48"/>
  <c r="I14" i="46" s="1"/>
  <c r="I13" i="48"/>
  <c r="I10" i="46" s="1"/>
  <c r="I15" i="48"/>
  <c r="I12" i="46" s="1"/>
  <c r="I7" i="48"/>
  <c r="I19" i="48"/>
  <c r="I16" i="46" s="1"/>
  <c r="I11" i="48"/>
  <c r="I8" i="46" s="1"/>
  <c r="I9" i="48"/>
  <c r="I6" i="46" s="1"/>
  <c r="I23" i="48"/>
  <c r="I20" i="46" s="1"/>
  <c r="M27" i="38"/>
  <c r="L4" i="37"/>
  <c r="L24" i="37" s="1"/>
  <c r="C24" i="33"/>
  <c r="O24" i="33" s="1"/>
  <c r="O4" i="33"/>
  <c r="E27" i="47"/>
  <c r="O27" i="35"/>
  <c r="L27" i="38"/>
  <c r="K4" i="37"/>
  <c r="K24" i="37" s="1"/>
  <c r="D27" i="38"/>
  <c r="C4" i="37"/>
  <c r="C24" i="37" s="1"/>
  <c r="B18" i="37"/>
  <c r="N18" i="37" s="1"/>
  <c r="O21" i="38"/>
  <c r="B7" i="37"/>
  <c r="N7" i="37" s="1"/>
  <c r="O10" i="38"/>
  <c r="B19" i="37"/>
  <c r="N19" i="37" s="1"/>
  <c r="O22" i="38"/>
  <c r="O19" i="38"/>
  <c r="B16" i="37"/>
  <c r="N16" i="37" s="1"/>
  <c r="O16" i="38"/>
  <c r="B13" i="37"/>
  <c r="N13" i="37" s="1"/>
  <c r="L40" i="15"/>
  <c r="O6" i="50" l="1"/>
  <c r="O20" i="51"/>
  <c r="O5" i="50"/>
  <c r="O25" i="51"/>
  <c r="O9" i="51"/>
  <c r="O17" i="50"/>
  <c r="O9" i="50"/>
  <c r="O18" i="51"/>
  <c r="O8" i="51"/>
  <c r="O26" i="51"/>
  <c r="O24" i="51"/>
  <c r="O11" i="51"/>
  <c r="O21" i="51"/>
  <c r="M24" i="46"/>
  <c r="E24" i="46"/>
  <c r="O14" i="50"/>
  <c r="O21" i="50"/>
  <c r="O8" i="50"/>
  <c r="O20" i="50"/>
  <c r="O12" i="50"/>
  <c r="N24" i="46"/>
  <c r="D24" i="46"/>
  <c r="O27" i="47"/>
  <c r="O18" i="48"/>
  <c r="C15" i="46"/>
  <c r="O15" i="46" s="1"/>
  <c r="I27" i="48"/>
  <c r="I4" i="46"/>
  <c r="I24" i="46" s="1"/>
  <c r="O22" i="46"/>
  <c r="C20" i="46"/>
  <c r="O20" i="46" s="1"/>
  <c r="F24" i="46"/>
  <c r="O21" i="46"/>
  <c r="O8" i="46"/>
  <c r="O12" i="46"/>
  <c r="B24" i="37"/>
  <c r="N24" i="37" s="1"/>
  <c r="N4" i="37"/>
  <c r="O9" i="48"/>
  <c r="O21" i="48"/>
  <c r="O19" i="48"/>
  <c r="O16" i="48"/>
  <c r="C13" i="46"/>
  <c r="O13" i="46" s="1"/>
  <c r="O14" i="48"/>
  <c r="C11" i="46"/>
  <c r="O11" i="46" s="1"/>
  <c r="O19" i="51"/>
  <c r="O10" i="51"/>
  <c r="J27" i="48"/>
  <c r="O22" i="51"/>
  <c r="O13" i="48"/>
  <c r="O20" i="48"/>
  <c r="C17" i="46"/>
  <c r="O17" i="46" s="1"/>
  <c r="O13" i="50"/>
  <c r="N27" i="48"/>
  <c r="H24" i="46"/>
  <c r="F27" i="48"/>
  <c r="C24" i="50"/>
  <c r="O14" i="51"/>
  <c r="O6" i="46"/>
  <c r="C10" i="46"/>
  <c r="O10" i="46" s="1"/>
  <c r="C14" i="46"/>
  <c r="O14" i="46" s="1"/>
  <c r="J27" i="51"/>
  <c r="O27" i="51" s="1"/>
  <c r="J4" i="50"/>
  <c r="J24" i="50" s="1"/>
  <c r="O27" i="38"/>
  <c r="L24" i="46"/>
  <c r="O11" i="48"/>
  <c r="O25" i="48"/>
  <c r="O8" i="48"/>
  <c r="C5" i="46"/>
  <c r="O5" i="46" s="1"/>
  <c r="O24" i="48"/>
  <c r="O22" i="48"/>
  <c r="K27" i="48"/>
  <c r="K4" i="46"/>
  <c r="K24" i="46" s="1"/>
  <c r="O16" i="51"/>
  <c r="O23" i="50"/>
  <c r="O13" i="51"/>
  <c r="O15" i="51"/>
  <c r="O17" i="51"/>
  <c r="O10" i="50"/>
  <c r="O18" i="46"/>
  <c r="D27" i="48"/>
  <c r="J24" i="46"/>
  <c r="O16" i="46"/>
  <c r="G27" i="48"/>
  <c r="O19" i="46"/>
  <c r="C27" i="48"/>
  <c r="O7" i="48"/>
  <c r="O15" i="48"/>
  <c r="O12" i="48"/>
  <c r="C9" i="46"/>
  <c r="O9" i="46" s="1"/>
  <c r="O10" i="48"/>
  <c r="C7" i="46"/>
  <c r="O7" i="46" s="1"/>
  <c r="O26" i="48"/>
  <c r="C23" i="46"/>
  <c r="O23" i="46" s="1"/>
  <c r="O16" i="50"/>
  <c r="O7" i="50"/>
  <c r="G4" i="46"/>
  <c r="G24" i="46" s="1"/>
  <c r="O19" i="50"/>
  <c r="K41" i="15"/>
  <c r="K39" i="15"/>
  <c r="I41" i="15"/>
  <c r="O4" i="46" l="1"/>
  <c r="O4" i="50"/>
  <c r="O24" i="50"/>
  <c r="O27" i="48"/>
  <c r="C24" i="46"/>
  <c r="O24" i="46" s="1"/>
  <c r="K66" i="15"/>
  <c r="K44" i="15" l="1"/>
  <c r="K46" i="15" s="1"/>
  <c r="K31" i="22" l="1"/>
  <c r="D31" i="22"/>
  <c r="C31" i="22"/>
  <c r="K64" i="15" l="1"/>
  <c r="K59" i="15"/>
  <c r="K54" i="15"/>
  <c r="K49" i="15"/>
  <c r="O43" i="15"/>
  <c r="K34" i="15"/>
  <c r="N27" i="21" l="1"/>
  <c r="M27" i="21"/>
  <c r="L27" i="21"/>
  <c r="K27" i="21"/>
  <c r="J27" i="21"/>
  <c r="I27" i="21"/>
  <c r="H27" i="21"/>
  <c r="G27" i="21"/>
  <c r="F27" i="21"/>
  <c r="E27" i="21"/>
  <c r="D27" i="21"/>
  <c r="C27" i="21"/>
  <c r="B27" i="21"/>
  <c r="O26" i="21"/>
  <c r="O25" i="21"/>
  <c r="O24" i="21"/>
  <c r="O23" i="21"/>
  <c r="O22" i="21"/>
  <c r="O21" i="21"/>
  <c r="O20" i="21"/>
  <c r="O19" i="21"/>
  <c r="O18" i="21"/>
  <c r="O17" i="21"/>
  <c r="O16" i="21"/>
  <c r="O15" i="21"/>
  <c r="O14" i="21"/>
  <c r="O13" i="21"/>
  <c r="O12" i="21"/>
  <c r="O11" i="21"/>
  <c r="O10" i="21"/>
  <c r="O9" i="21"/>
  <c r="O8" i="21"/>
  <c r="O7" i="21"/>
  <c r="O27" i="21" s="1"/>
  <c r="AB11" i="3" l="1"/>
  <c r="AB12" i="3"/>
  <c r="AB13" i="3"/>
  <c r="AB14" i="3"/>
  <c r="AB15" i="3"/>
  <c r="AB16" i="3"/>
  <c r="AB17" i="3"/>
  <c r="AB18" i="3"/>
  <c r="AB19" i="3"/>
  <c r="AB20" i="3"/>
  <c r="AB21" i="3"/>
  <c r="AB22" i="3"/>
  <c r="AB23" i="3"/>
  <c r="AB24" i="3"/>
  <c r="AB25" i="3"/>
  <c r="AB26" i="3"/>
  <c r="AB27" i="3"/>
  <c r="AB28" i="3"/>
  <c r="AB29" i="3"/>
  <c r="AB10" i="3"/>
  <c r="D20" i="8"/>
  <c r="D29" i="8"/>
  <c r="D11" i="8" s="1"/>
  <c r="C28" i="4"/>
  <c r="C11" i="4" s="1"/>
  <c r="D30" i="20"/>
  <c r="D11" i="20" s="1"/>
  <c r="C30" i="20"/>
  <c r="I29" i="14"/>
  <c r="F29" i="14"/>
  <c r="D29" i="14"/>
  <c r="I29" i="13"/>
  <c r="F29" i="13"/>
  <c r="D29" i="13"/>
  <c r="D28" i="8" l="1"/>
  <c r="D12" i="8"/>
  <c r="D24" i="8"/>
  <c r="D16" i="8"/>
  <c r="D26" i="8"/>
  <c r="D22" i="8"/>
  <c r="D18" i="8"/>
  <c r="D14" i="8"/>
  <c r="D10" i="8"/>
  <c r="D9" i="8"/>
  <c r="D25" i="8"/>
  <c r="D21" i="8"/>
  <c r="D17" i="8"/>
  <c r="D13" i="8"/>
  <c r="D27" i="8"/>
  <c r="D23" i="8"/>
  <c r="D19" i="8"/>
  <c r="D15" i="8"/>
  <c r="C18" i="4"/>
  <c r="C14" i="4"/>
  <c r="C22" i="4"/>
  <c r="C26" i="4"/>
  <c r="C10" i="4"/>
  <c r="D24" i="20"/>
  <c r="D16" i="20"/>
  <c r="D28" i="20"/>
  <c r="D12" i="20"/>
  <c r="D20" i="20"/>
  <c r="D10" i="20"/>
  <c r="D26" i="20"/>
  <c r="D22" i="20"/>
  <c r="D18" i="20"/>
  <c r="D14" i="20"/>
  <c r="D29" i="20"/>
  <c r="D25" i="20"/>
  <c r="D21" i="20"/>
  <c r="D17" i="20"/>
  <c r="D13" i="20"/>
  <c r="D27" i="20"/>
  <c r="D23" i="20"/>
  <c r="D19" i="20"/>
  <c r="D15" i="20"/>
  <c r="C25" i="4"/>
  <c r="C21" i="4"/>
  <c r="C17" i="4"/>
  <c r="C13" i="4"/>
  <c r="C9" i="4"/>
  <c r="C8" i="4"/>
  <c r="C24" i="4"/>
  <c r="C20" i="4"/>
  <c r="C16" i="4"/>
  <c r="C12" i="4"/>
  <c r="C27" i="4"/>
  <c r="C23" i="4"/>
  <c r="C19" i="4"/>
  <c r="C15" i="4"/>
  <c r="L64" i="15" l="1"/>
  <c r="M27" i="5" l="1"/>
  <c r="M24" i="5"/>
  <c r="M19" i="5"/>
  <c r="M15" i="5"/>
  <c r="M14"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K55" i="18"/>
  <c r="H55" i="18"/>
  <c r="K54" i="18"/>
  <c r="H54" i="18"/>
  <c r="K53" i="18"/>
  <c r="C26" i="18" s="1"/>
  <c r="H53" i="18"/>
  <c r="K52" i="18"/>
  <c r="H52" i="18"/>
  <c r="K51" i="18"/>
  <c r="C24" i="18" s="1"/>
  <c r="H51" i="18"/>
  <c r="K50" i="18"/>
  <c r="C23" i="18" s="1"/>
  <c r="H50" i="18"/>
  <c r="K49" i="18"/>
  <c r="C22" i="18" s="1"/>
  <c r="H49" i="18"/>
  <c r="K48" i="18"/>
  <c r="H48" i="18"/>
  <c r="C21" i="18" s="1"/>
  <c r="K47" i="18"/>
  <c r="C20" i="18" s="1"/>
  <c r="H47" i="18"/>
  <c r="K46" i="18"/>
  <c r="C19" i="18" s="1"/>
  <c r="H46" i="18"/>
  <c r="K45" i="18"/>
  <c r="C18" i="18" s="1"/>
  <c r="H45" i="18"/>
  <c r="K44" i="18"/>
  <c r="C17" i="18" s="1"/>
  <c r="H44" i="18"/>
  <c r="K43" i="18"/>
  <c r="C16" i="18" s="1"/>
  <c r="H43" i="18"/>
  <c r="K42" i="18"/>
  <c r="H42" i="18"/>
  <c r="C15" i="18" s="1"/>
  <c r="K41" i="18"/>
  <c r="C14" i="18" s="1"/>
  <c r="H41" i="18"/>
  <c r="K40" i="18"/>
  <c r="H40" i="18"/>
  <c r="K39" i="18"/>
  <c r="C12" i="18" s="1"/>
  <c r="H39" i="18"/>
  <c r="K38" i="18"/>
  <c r="C11" i="18" s="1"/>
  <c r="H38" i="18"/>
  <c r="K37" i="18"/>
  <c r="C10" i="18" s="1"/>
  <c r="H37" i="18"/>
  <c r="K36" i="18"/>
  <c r="H36" i="18"/>
  <c r="C9" i="18" s="1"/>
  <c r="C28" i="18"/>
  <c r="C13" i="18"/>
  <c r="C25" i="18" l="1"/>
  <c r="C27" i="18"/>
  <c r="C29" i="18" s="1"/>
  <c r="E10" i="18" s="1"/>
  <c r="K56" i="18"/>
  <c r="H56" i="18"/>
  <c r="D87" i="19"/>
  <c r="E28" i="18" l="1"/>
  <c r="F28" i="18" s="1"/>
  <c r="E17" i="18"/>
  <c r="F17" i="18" s="1"/>
  <c r="E26" i="18"/>
  <c r="F26" i="18" s="1"/>
  <c r="E27" i="18"/>
  <c r="E20" i="18"/>
  <c r="F20" i="18" s="1"/>
  <c r="E22" i="18"/>
  <c r="F22" i="18" s="1"/>
  <c r="E24" i="18"/>
  <c r="F24" i="18" s="1"/>
  <c r="E21" i="18"/>
  <c r="F21" i="18" s="1"/>
  <c r="E16" i="18"/>
  <c r="F16" i="18" s="1"/>
  <c r="E23" i="18"/>
  <c r="F23" i="18" s="1"/>
  <c r="E15" i="18"/>
  <c r="F15" i="18" s="1"/>
  <c r="E25" i="18"/>
  <c r="F25" i="18" s="1"/>
  <c r="E13" i="18"/>
  <c r="F13" i="18" s="1"/>
  <c r="E11" i="18"/>
  <c r="F11" i="18" s="1"/>
  <c r="E18" i="18"/>
  <c r="F18" i="18" s="1"/>
  <c r="E14" i="18"/>
  <c r="F14" i="18" s="1"/>
  <c r="E19" i="18"/>
  <c r="F19" i="18" s="1"/>
  <c r="E9" i="18"/>
  <c r="F9" i="18" s="1"/>
  <c r="E12" i="18"/>
  <c r="F12" i="18" s="1"/>
  <c r="C11" i="19"/>
  <c r="C25" i="19"/>
  <c r="C15" i="19"/>
  <c r="C23" i="19"/>
  <c r="C17" i="19"/>
  <c r="C24" i="19"/>
  <c r="C19" i="19"/>
  <c r="C13" i="19"/>
  <c r="C18" i="19"/>
  <c r="F27" i="18"/>
  <c r="C22" i="19"/>
  <c r="C21" i="19"/>
  <c r="C12" i="19"/>
  <c r="C14" i="19"/>
  <c r="C10" i="19"/>
  <c r="F10" i="18"/>
  <c r="C28" i="19"/>
  <c r="C27" i="19"/>
  <c r="C20" i="19"/>
  <c r="C26" i="19"/>
  <c r="E29" i="18" l="1"/>
  <c r="F29" i="18"/>
  <c r="C16" i="19"/>
  <c r="C9" i="19"/>
  <c r="C29" i="19" s="1"/>
  <c r="F28" i="5" l="1"/>
  <c r="F27" i="5"/>
  <c r="F26" i="5"/>
  <c r="F25" i="5"/>
  <c r="F24" i="5"/>
  <c r="F23" i="5"/>
  <c r="F22" i="5"/>
  <c r="F21" i="5"/>
  <c r="F20" i="5"/>
  <c r="F19" i="5"/>
  <c r="F18" i="5"/>
  <c r="F17" i="5"/>
  <c r="F16" i="5"/>
  <c r="F15" i="5"/>
  <c r="F14" i="5"/>
  <c r="F13" i="5"/>
  <c r="F12" i="5"/>
  <c r="F11" i="5"/>
  <c r="F10" i="5"/>
  <c r="F9" i="5"/>
  <c r="D9" i="4"/>
  <c r="D10" i="4"/>
  <c r="D11" i="4"/>
  <c r="D12" i="4"/>
  <c r="D13" i="4"/>
  <c r="D14" i="4"/>
  <c r="D15" i="4"/>
  <c r="D16" i="4"/>
  <c r="D17" i="4"/>
  <c r="D18" i="4"/>
  <c r="D19" i="4"/>
  <c r="D20" i="4"/>
  <c r="D21" i="4"/>
  <c r="D22" i="4"/>
  <c r="D23" i="4"/>
  <c r="D24" i="4"/>
  <c r="D25" i="4"/>
  <c r="D26" i="4"/>
  <c r="D27" i="4"/>
  <c r="D8" i="4"/>
  <c r="O94" i="15"/>
  <c r="N94" i="15"/>
  <c r="N100" i="15" s="1"/>
  <c r="L94" i="15"/>
  <c r="K94" i="15"/>
  <c r="H94" i="15"/>
  <c r="G94" i="15"/>
  <c r="E94" i="15"/>
  <c r="D94" i="15"/>
  <c r="F94" i="15" s="1"/>
  <c r="P93" i="15"/>
  <c r="M93" i="15"/>
  <c r="I93" i="15"/>
  <c r="F93" i="15"/>
  <c r="P92" i="15"/>
  <c r="R92" i="15" s="1"/>
  <c r="M92" i="15"/>
  <c r="I92" i="15"/>
  <c r="F92" i="15"/>
  <c r="P91" i="15"/>
  <c r="M91" i="15"/>
  <c r="I91" i="15"/>
  <c r="F91" i="15"/>
  <c r="P90" i="15"/>
  <c r="R90" i="15" s="1"/>
  <c r="M90" i="15"/>
  <c r="I90" i="15"/>
  <c r="F90" i="15"/>
  <c r="P89" i="15"/>
  <c r="M89" i="15"/>
  <c r="I89" i="15"/>
  <c r="F89" i="15"/>
  <c r="P88" i="15"/>
  <c r="M88" i="15"/>
  <c r="I88" i="15"/>
  <c r="F88" i="15"/>
  <c r="P87" i="15"/>
  <c r="M87" i="15"/>
  <c r="I87" i="15"/>
  <c r="F87" i="15"/>
  <c r="P86" i="15"/>
  <c r="M86" i="15"/>
  <c r="I86" i="15"/>
  <c r="F86" i="15"/>
  <c r="P85" i="15"/>
  <c r="M85" i="15"/>
  <c r="I85" i="15"/>
  <c r="F85" i="15"/>
  <c r="P84" i="15"/>
  <c r="R84" i="15" s="1"/>
  <c r="M84" i="15"/>
  <c r="I84" i="15"/>
  <c r="F84" i="15"/>
  <c r="P83" i="15"/>
  <c r="M83" i="15"/>
  <c r="I83" i="15"/>
  <c r="F83" i="15"/>
  <c r="P82" i="15"/>
  <c r="R82" i="15" s="1"/>
  <c r="M82" i="15"/>
  <c r="I82" i="15"/>
  <c r="F82" i="15"/>
  <c r="P81" i="15"/>
  <c r="M81" i="15"/>
  <c r="I81" i="15"/>
  <c r="F81" i="15"/>
  <c r="P80" i="15"/>
  <c r="M80" i="15"/>
  <c r="I80" i="15"/>
  <c r="F80" i="15"/>
  <c r="P79" i="15"/>
  <c r="M79" i="15"/>
  <c r="I79" i="15"/>
  <c r="F79" i="15"/>
  <c r="P78" i="15"/>
  <c r="M78" i="15"/>
  <c r="I78" i="15"/>
  <c r="F78" i="15"/>
  <c r="P77" i="15"/>
  <c r="M77" i="15"/>
  <c r="I77" i="15"/>
  <c r="F77" i="15"/>
  <c r="P76" i="15"/>
  <c r="R76" i="15" s="1"/>
  <c r="M76" i="15"/>
  <c r="I76" i="15"/>
  <c r="F76" i="15"/>
  <c r="P75" i="15"/>
  <c r="M75" i="15"/>
  <c r="I75" i="15"/>
  <c r="F75" i="15"/>
  <c r="P74" i="15"/>
  <c r="R74" i="15" s="1"/>
  <c r="M74" i="15"/>
  <c r="I74" i="15"/>
  <c r="F74" i="15"/>
  <c r="K61" i="15"/>
  <c r="L61" i="15" s="1"/>
  <c r="L60" i="15"/>
  <c r="L59" i="15"/>
  <c r="K56" i="15"/>
  <c r="L56" i="15" s="1"/>
  <c r="L55" i="15"/>
  <c r="L54" i="15"/>
  <c r="K51" i="15"/>
  <c r="F30" i="20" s="1"/>
  <c r="L50" i="15"/>
  <c r="L49" i="15"/>
  <c r="K36" i="15"/>
  <c r="L35" i="15"/>
  <c r="L34" i="15"/>
  <c r="K24" i="15"/>
  <c r="I13" i="15"/>
  <c r="K11" i="15"/>
  <c r="J75" i="15" l="1"/>
  <c r="J78" i="15"/>
  <c r="J80" i="15"/>
  <c r="J82" i="15"/>
  <c r="J85" i="15"/>
  <c r="J87" i="15"/>
  <c r="J89" i="15"/>
  <c r="J90" i="15"/>
  <c r="J92" i="15"/>
  <c r="I94" i="15"/>
  <c r="J74" i="15"/>
  <c r="J76" i="15"/>
  <c r="J77" i="15"/>
  <c r="J79" i="15"/>
  <c r="J81" i="15"/>
  <c r="J83" i="15"/>
  <c r="J84" i="15"/>
  <c r="J86" i="15"/>
  <c r="J88" i="15"/>
  <c r="J91" i="15"/>
  <c r="J93" i="15"/>
  <c r="R77" i="15"/>
  <c r="R78" i="15"/>
  <c r="R88" i="15"/>
  <c r="F11" i="20"/>
  <c r="F16" i="20"/>
  <c r="F13" i="20"/>
  <c r="F17" i="20"/>
  <c r="F21" i="20"/>
  <c r="F25" i="20"/>
  <c r="F14" i="20"/>
  <c r="F18" i="20"/>
  <c r="F22" i="20"/>
  <c r="F26" i="20"/>
  <c r="F15" i="20"/>
  <c r="F19" i="20"/>
  <c r="F23" i="20"/>
  <c r="F27" i="20"/>
  <c r="F10" i="20"/>
  <c r="F20" i="20"/>
  <c r="F24" i="20"/>
  <c r="F28" i="20"/>
  <c r="F12" i="20"/>
  <c r="R93" i="15"/>
  <c r="R83" i="15"/>
  <c r="R81" i="15"/>
  <c r="R89" i="15"/>
  <c r="R87" i="15"/>
  <c r="R86" i="15"/>
  <c r="R85" i="15"/>
  <c r="R80" i="15"/>
  <c r="R79" i="15"/>
  <c r="P94" i="15"/>
  <c r="R75" i="15"/>
  <c r="R91" i="15"/>
  <c r="M94" i="15"/>
  <c r="L36" i="15"/>
  <c r="J29" i="8"/>
  <c r="L51" i="15"/>
  <c r="I12" i="15"/>
  <c r="I19" i="15" s="1"/>
  <c r="K31" i="15"/>
  <c r="K25" i="15"/>
  <c r="K26" i="15" s="1"/>
  <c r="K27" i="15" l="1"/>
  <c r="K30" i="15"/>
  <c r="K28" i="15"/>
  <c r="R94" i="15"/>
  <c r="K29" i="15"/>
  <c r="I15" i="15"/>
  <c r="D22" i="19" s="1"/>
  <c r="I16" i="15"/>
  <c r="G22" i="18" s="1"/>
  <c r="F22" i="19" s="1"/>
  <c r="I17" i="15"/>
  <c r="S28" i="4" s="1"/>
  <c r="D12" i="19"/>
  <c r="D28" i="19"/>
  <c r="F29" i="1"/>
  <c r="D15" i="19" l="1"/>
  <c r="G15" i="19" s="1"/>
  <c r="D25" i="19"/>
  <c r="D11" i="19"/>
  <c r="I18" i="15"/>
  <c r="K18" i="15" s="1"/>
  <c r="G18" i="18"/>
  <c r="F18" i="19" s="1"/>
  <c r="G25" i="18"/>
  <c r="F25" i="19" s="1"/>
  <c r="G25" i="19" s="1"/>
  <c r="D24" i="19"/>
  <c r="D18" i="19"/>
  <c r="G12" i="18"/>
  <c r="F12" i="19" s="1"/>
  <c r="G12" i="19" s="1"/>
  <c r="D21" i="19"/>
  <c r="D27" i="19"/>
  <c r="D14" i="19"/>
  <c r="G28" i="18"/>
  <c r="F28" i="19" s="1"/>
  <c r="G28" i="19" s="1"/>
  <c r="G15" i="18"/>
  <c r="F15" i="19" s="1"/>
  <c r="G26" i="20"/>
  <c r="G14" i="20"/>
  <c r="G25" i="20"/>
  <c r="G21" i="20"/>
  <c r="G29" i="20"/>
  <c r="G13" i="20"/>
  <c r="G10" i="20"/>
  <c r="G20" i="20"/>
  <c r="G24" i="20"/>
  <c r="G12" i="20"/>
  <c r="G18" i="20"/>
  <c r="G19" i="20"/>
  <c r="G17" i="20"/>
  <c r="G11" i="20"/>
  <c r="G22" i="20"/>
  <c r="G28" i="20"/>
  <c r="G16" i="20"/>
  <c r="G23" i="20"/>
  <c r="G27" i="20"/>
  <c r="G15"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H29" i="14"/>
  <c r="L29" i="14" s="1"/>
  <c r="H29" i="13"/>
  <c r="G11" i="19" l="1"/>
  <c r="J11" i="19" s="1"/>
  <c r="G18" i="19"/>
  <c r="J18" i="19" s="1"/>
  <c r="G26" i="19"/>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G30" i="20"/>
  <c r="AC15" i="3"/>
  <c r="AC28" i="3"/>
  <c r="AC12" i="3"/>
  <c r="AC13" i="3"/>
  <c r="AC21" i="3"/>
  <c r="AC16" i="3"/>
  <c r="AC18" i="3"/>
  <c r="AC19" i="3"/>
  <c r="AC23" i="3"/>
  <c r="AC11" i="3"/>
  <c r="AC20" i="3"/>
  <c r="AC14" i="3"/>
  <c r="AC27" i="3"/>
  <c r="AC22" i="3"/>
  <c r="AC17" i="3"/>
  <c r="AC24" i="3"/>
  <c r="AC10" i="3"/>
  <c r="AC29" i="3"/>
  <c r="AC25" i="3"/>
  <c r="AC26" i="3"/>
  <c r="F29" i="19"/>
  <c r="J12" i="19"/>
  <c r="J25" i="19"/>
  <c r="J22" i="19"/>
  <c r="J26" i="19"/>
  <c r="J15" i="19"/>
  <c r="J28" i="19"/>
  <c r="D29" i="19"/>
  <c r="G9" i="19"/>
  <c r="AC30"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10" i="3"/>
  <c r="V11" i="3"/>
  <c r="V12" i="3"/>
  <c r="V13" i="3"/>
  <c r="V14" i="3"/>
  <c r="V17" i="3"/>
  <c r="V18" i="3"/>
  <c r="V19" i="3"/>
  <c r="V21" i="3"/>
  <c r="V22" i="3"/>
  <c r="V24" i="3"/>
  <c r="V26" i="3"/>
  <c r="V27" i="3"/>
  <c r="V29"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10" i="3"/>
  <c r="C11" i="3"/>
  <c r="C12" i="3"/>
  <c r="C13" i="3"/>
  <c r="C14" i="3"/>
  <c r="C15" i="3"/>
  <c r="C16" i="3"/>
  <c r="C17" i="3"/>
  <c r="C18" i="3"/>
  <c r="C19" i="3"/>
  <c r="C20" i="3"/>
  <c r="C30" i="11"/>
  <c r="B29" i="1"/>
  <c r="E29" i="1"/>
  <c r="G28" i="1"/>
  <c r="I28" i="5" s="1"/>
  <c r="D28" i="1"/>
  <c r="H27" i="4" s="1"/>
  <c r="G27" i="1"/>
  <c r="I27" i="5" s="1"/>
  <c r="D27" i="1"/>
  <c r="H26" i="4" s="1"/>
  <c r="G26" i="1"/>
  <c r="I26" i="5" s="1"/>
  <c r="D26" i="1"/>
  <c r="H25" i="4" s="1"/>
  <c r="G25" i="1"/>
  <c r="I25" i="5" s="1"/>
  <c r="D25" i="1"/>
  <c r="H24" i="4" s="1"/>
  <c r="G24" i="1"/>
  <c r="I24" i="5" s="1"/>
  <c r="D24" i="1"/>
  <c r="H23" i="4" s="1"/>
  <c r="G23" i="1"/>
  <c r="I23" i="5" s="1"/>
  <c r="D23" i="1"/>
  <c r="H22" i="4" s="1"/>
  <c r="G22" i="1"/>
  <c r="I22" i="5" s="1"/>
  <c r="D22" i="1"/>
  <c r="H21" i="4" s="1"/>
  <c r="G21" i="1"/>
  <c r="I21" i="5" s="1"/>
  <c r="D21" i="1"/>
  <c r="H20" i="4" s="1"/>
  <c r="G20" i="1"/>
  <c r="I20" i="5" s="1"/>
  <c r="D20" i="1"/>
  <c r="H19" i="4" s="1"/>
  <c r="G19" i="1"/>
  <c r="I19" i="5" s="1"/>
  <c r="D19" i="1"/>
  <c r="H18" i="4" s="1"/>
  <c r="G18" i="1"/>
  <c r="I18" i="5" s="1"/>
  <c r="D18" i="1"/>
  <c r="H17" i="4" s="1"/>
  <c r="G17" i="1"/>
  <c r="I17" i="5" s="1"/>
  <c r="D17" i="1"/>
  <c r="H16" i="4" s="1"/>
  <c r="G16" i="1"/>
  <c r="I16" i="5" s="1"/>
  <c r="D16" i="1"/>
  <c r="H15" i="4" s="1"/>
  <c r="G15" i="1"/>
  <c r="I15" i="5" s="1"/>
  <c r="D15" i="1"/>
  <c r="H14" i="4" s="1"/>
  <c r="G14" i="1"/>
  <c r="I14" i="5" s="1"/>
  <c r="D14" i="1"/>
  <c r="H13" i="4" s="1"/>
  <c r="G13" i="1"/>
  <c r="I13" i="5" s="1"/>
  <c r="D13" i="1"/>
  <c r="H12" i="4" s="1"/>
  <c r="G12" i="1"/>
  <c r="I12" i="5" s="1"/>
  <c r="D12" i="1"/>
  <c r="H11" i="4" s="1"/>
  <c r="G11" i="1"/>
  <c r="I11" i="5" s="1"/>
  <c r="D11" i="1"/>
  <c r="H10" i="4" s="1"/>
  <c r="G10" i="1"/>
  <c r="I10" i="5" s="1"/>
  <c r="D10" i="1"/>
  <c r="H9" i="4" s="1"/>
  <c r="G9" i="1"/>
  <c r="I9" i="5" s="1"/>
  <c r="D9" i="1"/>
  <c r="H8" i="4" s="1"/>
  <c r="M29" i="8"/>
  <c r="C29" i="8"/>
  <c r="C28" i="7"/>
  <c r="D60" i="5"/>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AA29" i="5"/>
  <c r="Y29" i="5"/>
  <c r="W29" i="5"/>
  <c r="M29" i="5"/>
  <c r="N22" i="5" s="1"/>
  <c r="D29" i="5"/>
  <c r="V28" i="5"/>
  <c r="X28" i="5" s="1"/>
  <c r="AB27" i="5"/>
  <c r="AB26" i="5"/>
  <c r="V26" i="5"/>
  <c r="X26" i="5" s="1"/>
  <c r="AB25" i="5"/>
  <c r="V25" i="5"/>
  <c r="X25" i="5" s="1"/>
  <c r="AB24" i="5"/>
  <c r="AB23" i="5"/>
  <c r="V23" i="5"/>
  <c r="X23" i="5" s="1"/>
  <c r="AB22" i="5"/>
  <c r="AB21" i="5"/>
  <c r="V21" i="5"/>
  <c r="X21" i="5" s="1"/>
  <c r="AB20" i="5"/>
  <c r="V20" i="5"/>
  <c r="X20" i="5" s="1"/>
  <c r="AB19" i="5"/>
  <c r="AB18" i="5"/>
  <c r="V18" i="5"/>
  <c r="X18" i="5" s="1"/>
  <c r="AB17" i="5"/>
  <c r="V17" i="5"/>
  <c r="X17" i="5" s="1"/>
  <c r="AB16" i="5"/>
  <c r="V16" i="5"/>
  <c r="X16" i="5" s="1"/>
  <c r="AB15" i="5"/>
  <c r="AB14" i="5"/>
  <c r="V13" i="5"/>
  <c r="X13" i="5" s="1"/>
  <c r="V12" i="5"/>
  <c r="X12" i="5" s="1"/>
  <c r="V11" i="5"/>
  <c r="X11" i="5" s="1"/>
  <c r="V10" i="5"/>
  <c r="X10" i="5" s="1"/>
  <c r="V9" i="5"/>
  <c r="X9" i="5" s="1"/>
  <c r="T9" i="5"/>
  <c r="T29" i="5" s="1"/>
  <c r="B28" i="4"/>
  <c r="L27" i="19" l="1"/>
  <c r="L9" i="19"/>
  <c r="AB29" i="5"/>
  <c r="L26" i="19"/>
  <c r="L25" i="19"/>
  <c r="L12" i="19"/>
  <c r="L15" i="19"/>
  <c r="L23" i="19"/>
  <c r="L17" i="19"/>
  <c r="L21" i="19"/>
  <c r="L20" i="19"/>
  <c r="L19" i="19"/>
  <c r="L18" i="19"/>
  <c r="L11" i="19"/>
  <c r="L28" i="19"/>
  <c r="M29" i="19"/>
  <c r="E87" i="19" s="1"/>
  <c r="F87" i="19" s="1"/>
  <c r="E67" i="19"/>
  <c r="F67" i="19" s="1"/>
  <c r="L22" i="19"/>
  <c r="L24" i="19"/>
  <c r="L10" i="19"/>
  <c r="L14" i="19"/>
  <c r="L16" i="19"/>
  <c r="N24" i="5"/>
  <c r="V25" i="3" s="1"/>
  <c r="N19" i="5"/>
  <c r="V20" i="3" s="1"/>
  <c r="N14" i="5"/>
  <c r="V15" i="3" s="1"/>
  <c r="V23" i="3"/>
  <c r="V22" i="5"/>
  <c r="X22" i="5" s="1"/>
  <c r="N27" i="5"/>
  <c r="N15" i="5"/>
  <c r="E10" i="8"/>
  <c r="I9" i="4"/>
  <c r="J9" i="4" s="1"/>
  <c r="X9" i="4" s="1"/>
  <c r="E12" i="8"/>
  <c r="I11" i="4"/>
  <c r="E14" i="8"/>
  <c r="I13" i="4"/>
  <c r="J13" i="4" s="1"/>
  <c r="X13" i="4" s="1"/>
  <c r="E16" i="8"/>
  <c r="I15" i="4"/>
  <c r="E18" i="8"/>
  <c r="I17" i="4"/>
  <c r="J17" i="4" s="1"/>
  <c r="X17" i="4" s="1"/>
  <c r="E20" i="8"/>
  <c r="I19" i="4"/>
  <c r="I21" i="4"/>
  <c r="J21" i="4" s="1"/>
  <c r="X21" i="4" s="1"/>
  <c r="E22" i="8"/>
  <c r="E24" i="8"/>
  <c r="I23" i="4"/>
  <c r="J23" i="4" s="1"/>
  <c r="X23" i="4" s="1"/>
  <c r="I25" i="4"/>
  <c r="J25" i="4" s="1"/>
  <c r="X25" i="4" s="1"/>
  <c r="E26" i="8"/>
  <c r="E28" i="8"/>
  <c r="I27" i="4"/>
  <c r="J27" i="4" s="1"/>
  <c r="X27" i="4" s="1"/>
  <c r="E11" i="8"/>
  <c r="I10" i="4"/>
  <c r="J10" i="4" s="1"/>
  <c r="X10" i="4" s="1"/>
  <c r="I12" i="4"/>
  <c r="J12" i="4" s="1"/>
  <c r="X12" i="4" s="1"/>
  <c r="E13" i="8"/>
  <c r="I14" i="4"/>
  <c r="J14" i="4" s="1"/>
  <c r="X14" i="4" s="1"/>
  <c r="E15" i="8"/>
  <c r="I16" i="4"/>
  <c r="J16" i="4" s="1"/>
  <c r="X16" i="4" s="1"/>
  <c r="E17" i="8"/>
  <c r="I18" i="4"/>
  <c r="J18" i="4" s="1"/>
  <c r="X18" i="4" s="1"/>
  <c r="E19" i="8"/>
  <c r="I20" i="4"/>
  <c r="J20" i="4" s="1"/>
  <c r="X20" i="4" s="1"/>
  <c r="E21" i="8"/>
  <c r="I22" i="4"/>
  <c r="J22" i="4" s="1"/>
  <c r="X22" i="4" s="1"/>
  <c r="E23" i="8"/>
  <c r="I24" i="4"/>
  <c r="J24" i="4" s="1"/>
  <c r="X24" i="4" s="1"/>
  <c r="E25" i="8"/>
  <c r="E27" i="8"/>
  <c r="I26" i="4"/>
  <c r="J26" i="4" s="1"/>
  <c r="X26" i="4" s="1"/>
  <c r="I8" i="4"/>
  <c r="J8" i="4" s="1"/>
  <c r="X8" i="4" s="1"/>
  <c r="E9" i="8"/>
  <c r="G29" i="1"/>
  <c r="D29" i="1"/>
  <c r="D28" i="4"/>
  <c r="E10" i="4" s="1"/>
  <c r="E13" i="22" s="1"/>
  <c r="E60" i="5"/>
  <c r="F60" i="5" s="1"/>
  <c r="H28" i="4"/>
  <c r="J19" i="4"/>
  <c r="X19" i="4" s="1"/>
  <c r="F29" i="5"/>
  <c r="G10" i="5" s="1"/>
  <c r="H10" i="5" s="1"/>
  <c r="D28" i="7"/>
  <c r="G29" i="8"/>
  <c r="J11" i="4"/>
  <c r="X11" i="4" s="1"/>
  <c r="C29" i="1"/>
  <c r="E28" i="7"/>
  <c r="F13" i="7" s="1"/>
  <c r="E29" i="5"/>
  <c r="I29" i="5"/>
  <c r="J13" i="5" s="1"/>
  <c r="K13" i="5" s="1"/>
  <c r="F40" i="5"/>
  <c r="E21" i="4"/>
  <c r="E24" i="22" s="1"/>
  <c r="E23" i="4"/>
  <c r="E26" i="22" s="1"/>
  <c r="F24" i="22" l="1"/>
  <c r="G24" i="22"/>
  <c r="F26" i="22"/>
  <c r="G26" i="22"/>
  <c r="F13" i="22"/>
  <c r="G13" i="22"/>
  <c r="E25" i="4"/>
  <c r="E28" i="22" s="1"/>
  <c r="E11" i="4"/>
  <c r="E14" i="22" s="1"/>
  <c r="L29" i="19"/>
  <c r="AD15" i="3"/>
  <c r="G13" i="7"/>
  <c r="H13" i="7" s="1"/>
  <c r="AE15" i="3" s="1"/>
  <c r="F23" i="4"/>
  <c r="C24" i="14"/>
  <c r="D24" i="14" s="1"/>
  <c r="C24" i="13"/>
  <c r="D24" i="13" s="1"/>
  <c r="F21" i="4"/>
  <c r="C22" i="14"/>
  <c r="D22" i="14" s="1"/>
  <c r="C22" i="13"/>
  <c r="D22" i="13" s="1"/>
  <c r="F11" i="4"/>
  <c r="F10" i="4"/>
  <c r="C11" i="14"/>
  <c r="D11" i="14" s="1"/>
  <c r="C11" i="13"/>
  <c r="D11" i="13" s="1"/>
  <c r="N29"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9" i="5"/>
  <c r="X19" i="5" s="1"/>
  <c r="V14" i="5"/>
  <c r="X14" i="5" s="1"/>
  <c r="V24" i="5"/>
  <c r="X24" i="5" s="1"/>
  <c r="V16" i="3"/>
  <c r="V15" i="5"/>
  <c r="X15" i="5" s="1"/>
  <c r="V28" i="3"/>
  <c r="V27" i="5"/>
  <c r="X27" i="5" s="1"/>
  <c r="E26" i="4"/>
  <c r="E29" i="22" s="1"/>
  <c r="E12" i="4"/>
  <c r="E15" i="22" s="1"/>
  <c r="E14" i="4"/>
  <c r="E17" i="22" s="1"/>
  <c r="E17" i="4"/>
  <c r="E20" i="22" s="1"/>
  <c r="I28" i="4"/>
  <c r="J15" i="4"/>
  <c r="X15" i="4" s="1"/>
  <c r="E29" i="8"/>
  <c r="F12" i="8" s="1"/>
  <c r="H12" i="8" s="1"/>
  <c r="J26" i="5"/>
  <c r="J25" i="5"/>
  <c r="K25" i="5" s="1"/>
  <c r="F19" i="7"/>
  <c r="F25" i="7"/>
  <c r="G18" i="5"/>
  <c r="H18" i="5" s="1"/>
  <c r="G24" i="5"/>
  <c r="H24" i="5" s="1"/>
  <c r="G16" i="5"/>
  <c r="H16" i="5" s="1"/>
  <c r="G19" i="5"/>
  <c r="H19" i="5" s="1"/>
  <c r="G20" i="5"/>
  <c r="H20" i="5" s="1"/>
  <c r="G26" i="5"/>
  <c r="H26" i="5" s="1"/>
  <c r="G27" i="5"/>
  <c r="H27" i="5" s="1"/>
  <c r="G28" i="5"/>
  <c r="H28" i="5" s="1"/>
  <c r="G21" i="5"/>
  <c r="H21" i="5" s="1"/>
  <c r="G23" i="5"/>
  <c r="H23" i="5" s="1"/>
  <c r="G25" i="5"/>
  <c r="H25" i="5" s="1"/>
  <c r="G29" i="5"/>
  <c r="G15" i="5"/>
  <c r="H15" i="5" s="1"/>
  <c r="J15" i="5"/>
  <c r="K15" i="5" s="1"/>
  <c r="E24" i="4"/>
  <c r="E27" i="22" s="1"/>
  <c r="E22" i="4"/>
  <c r="E25" i="22" s="1"/>
  <c r="E20" i="4"/>
  <c r="E23" i="22" s="1"/>
  <c r="J17" i="5"/>
  <c r="K17" i="5" s="1"/>
  <c r="E19" i="4"/>
  <c r="E22" i="22" s="1"/>
  <c r="E16" i="4"/>
  <c r="E19" i="22" s="1"/>
  <c r="E8" i="4"/>
  <c r="E11" i="22" s="1"/>
  <c r="E9" i="4"/>
  <c r="E12" i="22" s="1"/>
  <c r="E27" i="4"/>
  <c r="E30" i="22" s="1"/>
  <c r="E18" i="4"/>
  <c r="E21" i="22" s="1"/>
  <c r="J12" i="5"/>
  <c r="K12" i="5" s="1"/>
  <c r="E15" i="4"/>
  <c r="E18" i="22" s="1"/>
  <c r="E13" i="4"/>
  <c r="E16" i="22" s="1"/>
  <c r="J27" i="5"/>
  <c r="K27" i="5" s="1"/>
  <c r="G12" i="5"/>
  <c r="H12" i="5" s="1"/>
  <c r="J16" i="5"/>
  <c r="K16" i="5" s="1"/>
  <c r="G11" i="5"/>
  <c r="H11" i="5" s="1"/>
  <c r="G17" i="5"/>
  <c r="H17" i="5" s="1"/>
  <c r="G22" i="5"/>
  <c r="H22" i="5" s="1"/>
  <c r="G9" i="5"/>
  <c r="H9" i="5" s="1"/>
  <c r="G14" i="5"/>
  <c r="H14" i="5" s="1"/>
  <c r="G13" i="5"/>
  <c r="F27" i="7"/>
  <c r="F15" i="7"/>
  <c r="F17" i="7"/>
  <c r="F23" i="7"/>
  <c r="F9" i="7"/>
  <c r="F26" i="7"/>
  <c r="F22" i="7"/>
  <c r="F18" i="7"/>
  <c r="F14" i="7"/>
  <c r="F10" i="7"/>
  <c r="F24" i="7"/>
  <c r="F20" i="7"/>
  <c r="F16" i="7"/>
  <c r="F12" i="7"/>
  <c r="F8" i="7"/>
  <c r="F21" i="7"/>
  <c r="F11" i="7"/>
  <c r="J28" i="5"/>
  <c r="K28" i="5" s="1"/>
  <c r="J24" i="5"/>
  <c r="K24" i="5" s="1"/>
  <c r="J23" i="5"/>
  <c r="K23" i="5" s="1"/>
  <c r="J22" i="5"/>
  <c r="K22" i="5" s="1"/>
  <c r="J21" i="5"/>
  <c r="K21" i="5" s="1"/>
  <c r="J20" i="5"/>
  <c r="K20" i="5" s="1"/>
  <c r="J18" i="5"/>
  <c r="K18" i="5" s="1"/>
  <c r="J29" i="5"/>
  <c r="J11" i="5"/>
  <c r="K11" i="5" s="1"/>
  <c r="J10" i="5"/>
  <c r="K10" i="5" s="1"/>
  <c r="J14" i="5"/>
  <c r="K14" i="5" s="1"/>
  <c r="J9" i="5"/>
  <c r="K9" i="5" s="1"/>
  <c r="J19" i="5"/>
  <c r="K19" i="5" s="1"/>
  <c r="F25" i="4" l="1"/>
  <c r="C26" i="14"/>
  <c r="D26" i="14" s="1"/>
  <c r="F16" i="22"/>
  <c r="G16" i="22"/>
  <c r="F30" i="22"/>
  <c r="G30" i="22"/>
  <c r="F22" i="22"/>
  <c r="G22" i="22"/>
  <c r="F27" i="22"/>
  <c r="G27" i="22"/>
  <c r="F15" i="22"/>
  <c r="G15" i="22"/>
  <c r="F18" i="22"/>
  <c r="G18" i="22"/>
  <c r="F12" i="22"/>
  <c r="G12" i="22"/>
  <c r="F29" i="22"/>
  <c r="G29" i="22"/>
  <c r="F14" i="22"/>
  <c r="G14" i="22"/>
  <c r="F11" i="22"/>
  <c r="G11" i="22"/>
  <c r="E31" i="22"/>
  <c r="F23" i="22"/>
  <c r="G23" i="22"/>
  <c r="F20" i="22"/>
  <c r="G20" i="22"/>
  <c r="C12" i="13"/>
  <c r="D12" i="13" s="1"/>
  <c r="F28" i="22"/>
  <c r="G28" i="22"/>
  <c r="F21" i="22"/>
  <c r="G21" i="22"/>
  <c r="F19" i="22"/>
  <c r="G19" i="22"/>
  <c r="F25" i="22"/>
  <c r="G25" i="22"/>
  <c r="F17" i="22"/>
  <c r="G17" i="22"/>
  <c r="C12" i="14"/>
  <c r="D12" i="14" s="1"/>
  <c r="C26" i="13"/>
  <c r="D26" i="13" s="1"/>
  <c r="L15" i="5"/>
  <c r="AD22" i="3"/>
  <c r="G20" i="7"/>
  <c r="H20" i="7" s="1"/>
  <c r="AE22" i="3" s="1"/>
  <c r="AD20" i="3"/>
  <c r="G18" i="7"/>
  <c r="AD10" i="3"/>
  <c r="G8" i="7"/>
  <c r="AD26" i="3"/>
  <c r="G24" i="7"/>
  <c r="AD24" i="3"/>
  <c r="G22" i="7"/>
  <c r="H22" i="7" s="1"/>
  <c r="AE24" i="3" s="1"/>
  <c r="AD19" i="3"/>
  <c r="G17" i="7"/>
  <c r="H17" i="7" s="1"/>
  <c r="AE19" i="3" s="1"/>
  <c r="AD21" i="3"/>
  <c r="G19" i="7"/>
  <c r="H19" i="7" s="1"/>
  <c r="AE21" i="3" s="1"/>
  <c r="AD14" i="3"/>
  <c r="G12" i="7"/>
  <c r="H12" i="7" s="1"/>
  <c r="AE14" i="3" s="1"/>
  <c r="AD12" i="3"/>
  <c r="G10" i="7"/>
  <c r="H10" i="7" s="1"/>
  <c r="AE12" i="3" s="1"/>
  <c r="AD28" i="3"/>
  <c r="G26" i="7"/>
  <c r="H26" i="7" s="1"/>
  <c r="AE28" i="3" s="1"/>
  <c r="AD17" i="3"/>
  <c r="G15" i="7"/>
  <c r="H15" i="7" s="1"/>
  <c r="AE17" i="3" s="1"/>
  <c r="AD13" i="3"/>
  <c r="G11" i="7"/>
  <c r="AD18" i="3"/>
  <c r="G16" i="7"/>
  <c r="H16" i="7" s="1"/>
  <c r="AE18" i="3" s="1"/>
  <c r="AD16" i="3"/>
  <c r="G14" i="7"/>
  <c r="AD11" i="3"/>
  <c r="G9" i="7"/>
  <c r="H9" i="7" s="1"/>
  <c r="AE11" i="3" s="1"/>
  <c r="AD29" i="3"/>
  <c r="G27" i="7"/>
  <c r="H27" i="7" s="1"/>
  <c r="AE29" i="3" s="1"/>
  <c r="AD23" i="3"/>
  <c r="G21" i="7"/>
  <c r="H21" i="7" s="1"/>
  <c r="AE23" i="3" s="1"/>
  <c r="AD25" i="3"/>
  <c r="G23" i="7"/>
  <c r="AD27" i="3"/>
  <c r="G25" i="7"/>
  <c r="H25" i="7" s="1"/>
  <c r="AE27" i="3" s="1"/>
  <c r="F13" i="4"/>
  <c r="C14" i="14"/>
  <c r="D14" i="14" s="1"/>
  <c r="C14" i="13"/>
  <c r="D14" i="13" s="1"/>
  <c r="F8" i="4"/>
  <c r="C9" i="14"/>
  <c r="D9" i="14" s="1"/>
  <c r="C9" i="13"/>
  <c r="F22" i="4"/>
  <c r="C23" i="14"/>
  <c r="D23" i="14" s="1"/>
  <c r="C23" i="13"/>
  <c r="D23" i="13" s="1"/>
  <c r="F14" i="4"/>
  <c r="C15" i="14"/>
  <c r="D15" i="14" s="1"/>
  <c r="C15" i="13"/>
  <c r="D15" i="13" s="1"/>
  <c r="G21" i="4"/>
  <c r="F20" i="4"/>
  <c r="C21" i="14"/>
  <c r="D21" i="14" s="1"/>
  <c r="C21" i="13"/>
  <c r="D21" i="13" s="1"/>
  <c r="G23" i="4"/>
  <c r="F18" i="4"/>
  <c r="C19" i="14"/>
  <c r="D19" i="14" s="1"/>
  <c r="C19" i="13"/>
  <c r="D19" i="13" s="1"/>
  <c r="F16" i="4"/>
  <c r="C17" i="14"/>
  <c r="D17" i="14" s="1"/>
  <c r="C17" i="13"/>
  <c r="D17" i="13" s="1"/>
  <c r="F24" i="4"/>
  <c r="C25" i="14"/>
  <c r="D25" i="14" s="1"/>
  <c r="C25" i="13"/>
  <c r="D25" i="13" s="1"/>
  <c r="F12" i="4"/>
  <c r="C13" i="14"/>
  <c r="D13" i="14" s="1"/>
  <c r="C13" i="13"/>
  <c r="D13" i="13" s="1"/>
  <c r="G11" i="4"/>
  <c r="F9" i="4"/>
  <c r="C10" i="14"/>
  <c r="D10" i="14" s="1"/>
  <c r="C10" i="13"/>
  <c r="D10" i="13" s="1"/>
  <c r="F17" i="4"/>
  <c r="C18" i="14"/>
  <c r="D18" i="14" s="1"/>
  <c r="C18" i="13"/>
  <c r="D18" i="13" s="1"/>
  <c r="F15" i="4"/>
  <c r="C16" i="14"/>
  <c r="D16" i="14" s="1"/>
  <c r="C16" i="13"/>
  <c r="D16" i="13" s="1"/>
  <c r="F27" i="4"/>
  <c r="C28" i="14"/>
  <c r="D28" i="14" s="1"/>
  <c r="C28" i="13"/>
  <c r="D28" i="13" s="1"/>
  <c r="F19" i="4"/>
  <c r="C20" i="14"/>
  <c r="D20" i="14" s="1"/>
  <c r="C20" i="13"/>
  <c r="D20" i="13" s="1"/>
  <c r="F26" i="4"/>
  <c r="C27" i="14"/>
  <c r="D27" i="14" s="1"/>
  <c r="C27" i="13"/>
  <c r="D27" i="13" s="1"/>
  <c r="G10" i="4"/>
  <c r="G25" i="4"/>
  <c r="R13" i="5"/>
  <c r="S13" i="5" s="1"/>
  <c r="U14" i="3" s="1"/>
  <c r="H13" i="5"/>
  <c r="R26" i="5"/>
  <c r="S26" i="5" s="1"/>
  <c r="U27" i="3" s="1"/>
  <c r="K26" i="5"/>
  <c r="G57" i="5" s="1"/>
  <c r="V29" i="5"/>
  <c r="X29" i="5"/>
  <c r="AG25" i="5"/>
  <c r="AH25" i="5" s="1"/>
  <c r="AG23" i="5"/>
  <c r="AH23" i="5" s="1"/>
  <c r="R24" i="5"/>
  <c r="S24" i="5" s="1"/>
  <c r="U25" i="3" s="1"/>
  <c r="AG16" i="5"/>
  <c r="AH16" i="5" s="1"/>
  <c r="R25" i="5"/>
  <c r="S25" i="5" s="1"/>
  <c r="U26" i="3" s="1"/>
  <c r="J28" i="4"/>
  <c r="K20"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7" i="5"/>
  <c r="S17" i="5" s="1"/>
  <c r="U18" i="3" s="1"/>
  <c r="G46" i="5"/>
  <c r="H46" i="5" s="1"/>
  <c r="R16" i="5"/>
  <c r="S16" i="5" s="1"/>
  <c r="U17" i="3" s="1"/>
  <c r="AG29" i="5"/>
  <c r="AH29" i="5" s="1"/>
  <c r="AG15" i="5"/>
  <c r="AH15" i="5" s="1"/>
  <c r="R15" i="5"/>
  <c r="S15" i="5" s="1"/>
  <c r="U16" i="3" s="1"/>
  <c r="AG12" i="5"/>
  <c r="AH12" i="5" s="1"/>
  <c r="AG26" i="5"/>
  <c r="AH26" i="5" s="1"/>
  <c r="AG13" i="5"/>
  <c r="AH13" i="5" s="1"/>
  <c r="E28" i="4"/>
  <c r="AG17" i="5"/>
  <c r="AH17" i="5" s="1"/>
  <c r="R21" i="5"/>
  <c r="S21" i="5" s="1"/>
  <c r="U22" i="3" s="1"/>
  <c r="R27" i="5"/>
  <c r="S27" i="5" s="1"/>
  <c r="U28" i="3" s="1"/>
  <c r="R12" i="5"/>
  <c r="S12" i="5" s="1"/>
  <c r="U13" i="3" s="1"/>
  <c r="AG27" i="5"/>
  <c r="AH27" i="5" s="1"/>
  <c r="AG11" i="5"/>
  <c r="AH11" i="5" s="1"/>
  <c r="H23" i="7"/>
  <c r="AE25" i="3" s="1"/>
  <c r="AG24" i="5"/>
  <c r="AH24" i="5" s="1"/>
  <c r="AG21" i="5"/>
  <c r="AH21" i="5" s="1"/>
  <c r="R22" i="5"/>
  <c r="S22" i="5" s="1"/>
  <c r="U23" i="3" s="1"/>
  <c r="H24" i="7"/>
  <c r="AE26" i="3" s="1"/>
  <c r="H11" i="7"/>
  <c r="AE13" i="3" s="1"/>
  <c r="H14" i="7"/>
  <c r="AE16" i="3" s="1"/>
  <c r="H18" i="7"/>
  <c r="AE20" i="3" s="1"/>
  <c r="F28" i="7"/>
  <c r="L23" i="5"/>
  <c r="G54" i="5"/>
  <c r="R10" i="5"/>
  <c r="S10" i="5" s="1"/>
  <c r="U11" i="3" s="1"/>
  <c r="AG10" i="5"/>
  <c r="AH10" i="5" s="1"/>
  <c r="AG18" i="5"/>
  <c r="AH18" i="5" s="1"/>
  <c r="AG9" i="5"/>
  <c r="AH9" i="5" s="1"/>
  <c r="R20" i="5"/>
  <c r="S20" i="5" s="1"/>
  <c r="U21" i="3" s="1"/>
  <c r="R28" i="5"/>
  <c r="S28" i="5" s="1"/>
  <c r="U29" i="3" s="1"/>
  <c r="R19" i="5"/>
  <c r="S19" i="5" s="1"/>
  <c r="U20" i="3" s="1"/>
  <c r="AG14" i="5"/>
  <c r="AH14" i="5" s="1"/>
  <c r="R14" i="5"/>
  <c r="S14" i="5" s="1"/>
  <c r="U15" i="3" s="1"/>
  <c r="R18" i="5"/>
  <c r="S18" i="5" s="1"/>
  <c r="U19" i="3" s="1"/>
  <c r="G51" i="5"/>
  <c r="L20" i="5"/>
  <c r="G43" i="5"/>
  <c r="L12" i="5"/>
  <c r="R23" i="5"/>
  <c r="S23" i="5" s="1"/>
  <c r="U24" i="3" s="1"/>
  <c r="Z26" i="5"/>
  <c r="G52" i="5"/>
  <c r="L21" i="5"/>
  <c r="G47" i="5"/>
  <c r="L16" i="5"/>
  <c r="G53" i="5"/>
  <c r="L22" i="5"/>
  <c r="G40" i="5"/>
  <c r="L9" i="5"/>
  <c r="AG20" i="5"/>
  <c r="AH20" i="5" s="1"/>
  <c r="L19" i="5"/>
  <c r="G50" i="5"/>
  <c r="G42" i="5"/>
  <c r="L11" i="5"/>
  <c r="L28" i="5"/>
  <c r="G59" i="5"/>
  <c r="L27" i="5"/>
  <c r="G58" i="5"/>
  <c r="G48" i="5"/>
  <c r="L17" i="5"/>
  <c r="G55" i="5"/>
  <c r="L24" i="5"/>
  <c r="K29" i="5"/>
  <c r="G49" i="5"/>
  <c r="L18" i="5"/>
  <c r="AG22" i="5"/>
  <c r="AH22" i="5" s="1"/>
  <c r="R9" i="5"/>
  <c r="AG28" i="5"/>
  <c r="AH28" i="5" s="1"/>
  <c r="L25" i="5"/>
  <c r="G56" i="5"/>
  <c r="AG19" i="5"/>
  <c r="AH19" i="5" s="1"/>
  <c r="R11" i="5"/>
  <c r="S11" i="5" s="1"/>
  <c r="U12" i="3" s="1"/>
  <c r="H29" i="5" l="1"/>
  <c r="F31" i="22"/>
  <c r="G31" i="22"/>
  <c r="O29" i="5"/>
  <c r="U26" i="5"/>
  <c r="L26" i="5"/>
  <c r="G20" i="4"/>
  <c r="G15" i="4"/>
  <c r="G17" i="4"/>
  <c r="G12" i="4"/>
  <c r="G14" i="4"/>
  <c r="C29" i="13"/>
  <c r="D9" i="13"/>
  <c r="G22" i="4"/>
  <c r="L20" i="4"/>
  <c r="M20" i="4" s="1"/>
  <c r="E21" i="14"/>
  <c r="F21" i="14" s="1"/>
  <c r="E21" i="13"/>
  <c r="F21" i="13" s="1"/>
  <c r="G27" i="4"/>
  <c r="G18" i="4"/>
  <c r="G26" i="4"/>
  <c r="G9" i="4"/>
  <c r="G24" i="4"/>
  <c r="F28" i="4"/>
  <c r="G19" i="4"/>
  <c r="G16" i="4"/>
  <c r="G8" i="4"/>
  <c r="G13" i="4"/>
  <c r="U21" i="5"/>
  <c r="G44" i="5"/>
  <c r="H44" i="5" s="1"/>
  <c r="L13" i="5"/>
  <c r="Z13" i="5"/>
  <c r="U13" i="5"/>
  <c r="U24" i="5"/>
  <c r="O22" i="5"/>
  <c r="O19" i="5"/>
  <c r="O14" i="5"/>
  <c r="O27" i="5"/>
  <c r="O24" i="5"/>
  <c r="O15" i="5"/>
  <c r="I46" i="5"/>
  <c r="J46" i="5" s="1"/>
  <c r="O20" i="5"/>
  <c r="P18" i="5"/>
  <c r="Z24" i="5"/>
  <c r="U16" i="5"/>
  <c r="U25" i="5"/>
  <c r="Z25" i="5"/>
  <c r="Z16" i="5"/>
  <c r="U12" i="5"/>
  <c r="K8" i="4"/>
  <c r="K14" i="4"/>
  <c r="K18" i="4"/>
  <c r="K16" i="4"/>
  <c r="K22" i="4"/>
  <c r="K11" i="4"/>
  <c r="K19" i="4"/>
  <c r="K17" i="4"/>
  <c r="K27" i="4"/>
  <c r="K23" i="4"/>
  <c r="K13" i="4"/>
  <c r="K24" i="4"/>
  <c r="K25" i="4"/>
  <c r="K12" i="4"/>
  <c r="K21" i="4"/>
  <c r="K9" i="4"/>
  <c r="K26" i="4"/>
  <c r="K10" i="4"/>
  <c r="K15" i="4"/>
  <c r="H29" i="8"/>
  <c r="I29" i="8" s="1"/>
  <c r="F29" i="8"/>
  <c r="U17" i="5"/>
  <c r="Z17" i="5"/>
  <c r="U22" i="5"/>
  <c r="U15" i="5"/>
  <c r="Z15" i="5"/>
  <c r="U27" i="5"/>
  <c r="Z12" i="5"/>
  <c r="Z27" i="5"/>
  <c r="Z22" i="5"/>
  <c r="Z21" i="5"/>
  <c r="Z18" i="5"/>
  <c r="H8" i="7"/>
  <c r="AE10" i="3" s="1"/>
  <c r="G28" i="7"/>
  <c r="H28" i="7" s="1"/>
  <c r="H59" i="5"/>
  <c r="I59" i="5"/>
  <c r="H57" i="5"/>
  <c r="I57" i="5"/>
  <c r="R29" i="5"/>
  <c r="S29" i="5" s="1"/>
  <c r="S9" i="5"/>
  <c r="U10" i="3" s="1"/>
  <c r="H50" i="5"/>
  <c r="I50" i="5"/>
  <c r="H47" i="5"/>
  <c r="I47" i="5"/>
  <c r="Z14" i="5"/>
  <c r="U14" i="5"/>
  <c r="U28" i="5"/>
  <c r="Z28" i="5"/>
  <c r="H54" i="5"/>
  <c r="I54" i="5"/>
  <c r="H58" i="5"/>
  <c r="I58" i="5"/>
  <c r="P26" i="5"/>
  <c r="P25" i="5"/>
  <c r="P23" i="5"/>
  <c r="G60" i="5"/>
  <c r="H60" i="5" s="1"/>
  <c r="P21" i="5"/>
  <c r="P17" i="5"/>
  <c r="P16" i="5"/>
  <c r="P28" i="5"/>
  <c r="P10" i="5"/>
  <c r="P9" i="5"/>
  <c r="P11" i="5"/>
  <c r="P12" i="5"/>
  <c r="U19" i="5"/>
  <c r="Z19" i="5"/>
  <c r="H56" i="5"/>
  <c r="I56" i="5"/>
  <c r="H48" i="5"/>
  <c r="I48" i="5"/>
  <c r="I42" i="5"/>
  <c r="H42" i="5"/>
  <c r="H43" i="5"/>
  <c r="I43" i="5"/>
  <c r="U20" i="5"/>
  <c r="Z20" i="5"/>
  <c r="Z10" i="5"/>
  <c r="U10" i="5"/>
  <c r="U11" i="5"/>
  <c r="Z11" i="5"/>
  <c r="H49" i="5"/>
  <c r="I49" i="5"/>
  <c r="H55" i="5"/>
  <c r="I55" i="5"/>
  <c r="H40" i="5"/>
  <c r="I40" i="5"/>
  <c r="H53" i="5"/>
  <c r="I53" i="5"/>
  <c r="I52" i="5"/>
  <c r="H52" i="5"/>
  <c r="U23" i="5"/>
  <c r="Z23" i="5"/>
  <c r="H51" i="5"/>
  <c r="I51" i="5"/>
  <c r="L14" i="5"/>
  <c r="G45" i="5"/>
  <c r="G41" i="5"/>
  <c r="L10" i="5"/>
  <c r="P19" i="5" l="1"/>
  <c r="Q24" i="5"/>
  <c r="W25" i="3" s="1"/>
  <c r="P22" i="5"/>
  <c r="P20" i="5"/>
  <c r="P27" i="5"/>
  <c r="P14" i="5"/>
  <c r="H18" i="22"/>
  <c r="I18" i="22" s="1"/>
  <c r="J18" i="22" s="1"/>
  <c r="K18" i="22" s="1"/>
  <c r="L18" i="22" s="1"/>
  <c r="H24" i="22"/>
  <c r="I24" i="22" s="1"/>
  <c r="H26" i="22"/>
  <c r="I26" i="22" s="1"/>
  <c r="J26" i="22" s="1"/>
  <c r="K26" i="22" s="1"/>
  <c r="L26" i="22" s="1"/>
  <c r="H13" i="22"/>
  <c r="I13" i="22" s="1"/>
  <c r="J13" i="22" s="1"/>
  <c r="K13" i="22" s="1"/>
  <c r="L13" i="22" s="1"/>
  <c r="H17" i="22"/>
  <c r="I17" i="22" s="1"/>
  <c r="H12" i="22"/>
  <c r="I12" i="22" s="1"/>
  <c r="H25" i="22"/>
  <c r="I25" i="22" s="1"/>
  <c r="J25" i="22" s="1"/>
  <c r="K25" i="22" s="1"/>
  <c r="L25" i="22" s="1"/>
  <c r="H16" i="22"/>
  <c r="I16" i="22" s="1"/>
  <c r="H14" i="22"/>
  <c r="I14" i="22" s="1"/>
  <c r="J14" i="22" s="1"/>
  <c r="K14" i="22" s="1"/>
  <c r="L14" i="22" s="1"/>
  <c r="H30" i="22"/>
  <c r="I30" i="22" s="1"/>
  <c r="J30" i="22" s="1"/>
  <c r="K30" i="22" s="1"/>
  <c r="L30" i="22" s="1"/>
  <c r="H28" i="22"/>
  <c r="I28" i="22" s="1"/>
  <c r="J28" i="22" s="1"/>
  <c r="K28" i="22" s="1"/>
  <c r="L28" i="22" s="1"/>
  <c r="H22" i="22"/>
  <c r="I22" i="22" s="1"/>
  <c r="J22" i="22" s="1"/>
  <c r="K22" i="22" s="1"/>
  <c r="L22" i="22" s="1"/>
  <c r="H20" i="22"/>
  <c r="I20" i="22" s="1"/>
  <c r="H27" i="22"/>
  <c r="I27" i="22" s="1"/>
  <c r="J27" i="22" s="1"/>
  <c r="K27" i="22" s="1"/>
  <c r="L27" i="22" s="1"/>
  <c r="H23" i="22"/>
  <c r="I23" i="22" s="1"/>
  <c r="J23" i="22" s="1"/>
  <c r="K23" i="22" s="1"/>
  <c r="L23" i="22" s="1"/>
  <c r="H11" i="22"/>
  <c r="H19" i="22"/>
  <c r="I19" i="22" s="1"/>
  <c r="J19" i="22" s="1"/>
  <c r="K19" i="22" s="1"/>
  <c r="L19" i="22" s="1"/>
  <c r="H15" i="22"/>
  <c r="I15" i="22" s="1"/>
  <c r="J15" i="22" s="1"/>
  <c r="K15" i="22" s="1"/>
  <c r="L15" i="22" s="1"/>
  <c r="H21" i="22"/>
  <c r="I21" i="22" s="1"/>
  <c r="J21" i="22" s="1"/>
  <c r="K21" i="22" s="1"/>
  <c r="L21" i="22" s="1"/>
  <c r="H29" i="22"/>
  <c r="I29" i="22" s="1"/>
  <c r="J29" i="22" s="1"/>
  <c r="K29" i="22" s="1"/>
  <c r="L29" i="22" s="1"/>
  <c r="I44" i="5"/>
  <c r="J44" i="5" s="1"/>
  <c r="O20" i="4"/>
  <c r="P20" i="4" s="1"/>
  <c r="P24" i="5"/>
  <c r="L10" i="4"/>
  <c r="E11" i="14"/>
  <c r="F11" i="14" s="1"/>
  <c r="E11" i="13"/>
  <c r="F11" i="13" s="1"/>
  <c r="L23" i="4"/>
  <c r="E24" i="14"/>
  <c r="F24" i="14" s="1"/>
  <c r="E24" i="13"/>
  <c r="F24" i="13" s="1"/>
  <c r="L14" i="4"/>
  <c r="O14" i="4" s="1"/>
  <c r="P14" i="4" s="1"/>
  <c r="E15" i="14"/>
  <c r="F15" i="14" s="1"/>
  <c r="E15" i="13"/>
  <c r="F15" i="13" s="1"/>
  <c r="L26" i="4"/>
  <c r="E27" i="14"/>
  <c r="F27" i="14" s="1"/>
  <c r="E27" i="13"/>
  <c r="F27" i="13" s="1"/>
  <c r="L25" i="4"/>
  <c r="O25" i="4" s="1"/>
  <c r="P25" i="4" s="1"/>
  <c r="E26" i="14"/>
  <c r="F26" i="14" s="1"/>
  <c r="E26" i="13"/>
  <c r="F26" i="13" s="1"/>
  <c r="L27" i="4"/>
  <c r="E28" i="14"/>
  <c r="F28" i="14" s="1"/>
  <c r="E28" i="13"/>
  <c r="F28" i="13" s="1"/>
  <c r="L22" i="4"/>
  <c r="O22" i="4" s="1"/>
  <c r="P22" i="4" s="1"/>
  <c r="E23" i="14"/>
  <c r="F23" i="14" s="1"/>
  <c r="E23" i="13"/>
  <c r="F23" i="13" s="1"/>
  <c r="L8" i="4"/>
  <c r="E9" i="14"/>
  <c r="F9" i="14" s="1"/>
  <c r="E9" i="13"/>
  <c r="L12" i="4"/>
  <c r="O12" i="4" s="1"/>
  <c r="P12" i="4" s="1"/>
  <c r="E13" i="14"/>
  <c r="F13" i="14" s="1"/>
  <c r="E13" i="13"/>
  <c r="F13" i="13" s="1"/>
  <c r="L11" i="4"/>
  <c r="O11" i="4" s="1"/>
  <c r="P11" i="4" s="1"/>
  <c r="E12" i="14"/>
  <c r="F12" i="14" s="1"/>
  <c r="E12" i="13"/>
  <c r="F12" i="13" s="1"/>
  <c r="L9" i="4"/>
  <c r="O9" i="4" s="1"/>
  <c r="P9" i="4" s="1"/>
  <c r="E10" i="14"/>
  <c r="F10" i="14" s="1"/>
  <c r="E10" i="13"/>
  <c r="F10" i="13" s="1"/>
  <c r="L24" i="4"/>
  <c r="E25" i="14"/>
  <c r="F25" i="14" s="1"/>
  <c r="E25" i="13"/>
  <c r="F25" i="13" s="1"/>
  <c r="L17" i="4"/>
  <c r="O17" i="4" s="1"/>
  <c r="P17" i="4" s="1"/>
  <c r="E18" i="14"/>
  <c r="F18" i="14" s="1"/>
  <c r="E18" i="13"/>
  <c r="F18" i="13" s="1"/>
  <c r="L16" i="4"/>
  <c r="E17" i="14"/>
  <c r="F17" i="14" s="1"/>
  <c r="E17" i="13"/>
  <c r="F17" i="13" s="1"/>
  <c r="L15" i="4"/>
  <c r="O15" i="4" s="1"/>
  <c r="P15" i="4" s="1"/>
  <c r="E16" i="14"/>
  <c r="F16" i="14" s="1"/>
  <c r="E16" i="13"/>
  <c r="F16" i="13" s="1"/>
  <c r="L21" i="4"/>
  <c r="E22" i="14"/>
  <c r="F22" i="14" s="1"/>
  <c r="E22" i="13"/>
  <c r="F22" i="13" s="1"/>
  <c r="L13" i="4"/>
  <c r="O13" i="4" s="1"/>
  <c r="P13" i="4" s="1"/>
  <c r="E14" i="14"/>
  <c r="F14" i="14" s="1"/>
  <c r="E14" i="13"/>
  <c r="F14" i="13" s="1"/>
  <c r="L19" i="4"/>
  <c r="O19" i="4" s="1"/>
  <c r="P19" i="4" s="1"/>
  <c r="E20" i="14"/>
  <c r="F20" i="14" s="1"/>
  <c r="E20" i="13"/>
  <c r="F20" i="13" s="1"/>
  <c r="L18" i="4"/>
  <c r="O18" i="4" s="1"/>
  <c r="P18" i="4" s="1"/>
  <c r="E19" i="14"/>
  <c r="F19" i="14" s="1"/>
  <c r="E19" i="13"/>
  <c r="F19" i="13" s="1"/>
  <c r="G28" i="4"/>
  <c r="N20" i="4"/>
  <c r="O26" i="4"/>
  <c r="P26" i="4" s="1"/>
  <c r="O8" i="4"/>
  <c r="P8" i="4" s="1"/>
  <c r="O24" i="4"/>
  <c r="P24" i="4" s="1"/>
  <c r="O16" i="4"/>
  <c r="P16" i="4" s="1"/>
  <c r="O10" i="4"/>
  <c r="P10" i="4" s="1"/>
  <c r="K28" i="4"/>
  <c r="I15" i="8"/>
  <c r="Z16" i="3" s="1"/>
  <c r="I20" i="8"/>
  <c r="Z21" i="3" s="1"/>
  <c r="I26" i="8"/>
  <c r="Z27" i="3" s="1"/>
  <c r="I16" i="8"/>
  <c r="Z17" i="3" s="1"/>
  <c r="I11" i="8"/>
  <c r="Z12" i="3" s="1"/>
  <c r="I10" i="8"/>
  <c r="Z11" i="3" s="1"/>
  <c r="I13" i="8"/>
  <c r="Z14" i="3" s="1"/>
  <c r="I28" i="8"/>
  <c r="Z29" i="3" s="1"/>
  <c r="I22" i="8"/>
  <c r="Z23" i="3" s="1"/>
  <c r="I19" i="8"/>
  <c r="Z20" i="3" s="1"/>
  <c r="I25" i="8"/>
  <c r="Z26" i="3" s="1"/>
  <c r="I21" i="8"/>
  <c r="Z22" i="3" s="1"/>
  <c r="I18" i="8"/>
  <c r="Z19" i="3" s="1"/>
  <c r="I12" i="8"/>
  <c r="Z13" i="3" s="1"/>
  <c r="I24" i="8"/>
  <c r="Z25" i="3" s="1"/>
  <c r="I9" i="8"/>
  <c r="I23" i="8"/>
  <c r="Z24" i="3" s="1"/>
  <c r="I17" i="8"/>
  <c r="Z18" i="3" s="1"/>
  <c r="I27" i="8"/>
  <c r="Z28" i="3" s="1"/>
  <c r="I14" i="8"/>
  <c r="Z15" i="3" s="1"/>
  <c r="J50" i="5"/>
  <c r="J42" i="5"/>
  <c r="Q11" i="5"/>
  <c r="W12" i="3" s="1"/>
  <c r="Q27" i="5"/>
  <c r="W28" i="3" s="1"/>
  <c r="J47" i="5"/>
  <c r="Q19" i="5"/>
  <c r="W20" i="3" s="1"/>
  <c r="J49" i="5"/>
  <c r="J52" i="5"/>
  <c r="Q10" i="5"/>
  <c r="W11" i="3" s="1"/>
  <c r="Q21" i="5"/>
  <c r="W22" i="3" s="1"/>
  <c r="J48" i="5"/>
  <c r="J40" i="5"/>
  <c r="J43" i="5"/>
  <c r="J58" i="5"/>
  <c r="Q17" i="5"/>
  <c r="W18" i="3" s="1"/>
  <c r="Q14" i="5"/>
  <c r="W15" i="3" s="1"/>
  <c r="J53" i="5"/>
  <c r="Q22" i="5"/>
  <c r="W23" i="3" s="1"/>
  <c r="J56" i="5"/>
  <c r="J54" i="5"/>
  <c r="Q25" i="5"/>
  <c r="W26" i="3" s="1"/>
  <c r="Q26" i="5"/>
  <c r="W27" i="3" s="1"/>
  <c r="H45" i="5"/>
  <c r="I45" i="5"/>
  <c r="J51" i="5"/>
  <c r="J55" i="5"/>
  <c r="Q23" i="5"/>
  <c r="W24" i="3" s="1"/>
  <c r="P13" i="5"/>
  <c r="Q13" i="5"/>
  <c r="W14" i="3" s="1"/>
  <c r="Q18" i="5"/>
  <c r="W19" i="3" s="1"/>
  <c r="J57" i="5"/>
  <c r="P15" i="5"/>
  <c r="Q15" i="5"/>
  <c r="W16" i="3" s="1"/>
  <c r="Q16" i="5"/>
  <c r="W17" i="3" s="1"/>
  <c r="Q9" i="5"/>
  <c r="W10" i="3" s="1"/>
  <c r="Q12" i="5"/>
  <c r="W13" i="3" s="1"/>
  <c r="Q20" i="5"/>
  <c r="W21" i="3" s="1"/>
  <c r="Z9" i="5"/>
  <c r="Z29" i="5" s="1"/>
  <c r="U9" i="5"/>
  <c r="U29" i="5" s="1"/>
  <c r="H41" i="5"/>
  <c r="I41" i="5"/>
  <c r="L29" i="5"/>
  <c r="Q28" i="5"/>
  <c r="W29" i="3" s="1"/>
  <c r="J59" i="5"/>
  <c r="H31" i="22" l="1"/>
  <c r="I11" i="22"/>
  <c r="J16" i="22"/>
  <c r="K16" i="22" s="1"/>
  <c r="L16" i="22" s="1"/>
  <c r="J12" i="22"/>
  <c r="K12" i="22" s="1"/>
  <c r="L12" i="22" s="1"/>
  <c r="J24" i="22"/>
  <c r="K24" i="22" s="1"/>
  <c r="L24" i="22" s="1"/>
  <c r="J20" i="22"/>
  <c r="K20" i="22" s="1"/>
  <c r="L20" i="22" s="1"/>
  <c r="J17" i="22"/>
  <c r="K17" i="22" s="1"/>
  <c r="L17" i="22" s="1"/>
  <c r="Z10" i="3"/>
  <c r="J9" i="8"/>
  <c r="M9" i="4"/>
  <c r="N9" i="4" s="1"/>
  <c r="E29" i="13"/>
  <c r="F9" i="13"/>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10" i="8"/>
  <c r="K10" i="8" s="1"/>
  <c r="AA11" i="3" s="1"/>
  <c r="L15" i="8"/>
  <c r="N15" i="8" s="1"/>
  <c r="J15" i="8"/>
  <c r="K15" i="8" s="1"/>
  <c r="AA16" i="3" s="1"/>
  <c r="J26" i="8"/>
  <c r="K26" i="8" s="1"/>
  <c r="AA27" i="3" s="1"/>
  <c r="L20" i="8"/>
  <c r="N20" i="8" s="1"/>
  <c r="J20" i="8"/>
  <c r="K20" i="8" s="1"/>
  <c r="AA21" i="3" s="1"/>
  <c r="L13" i="8"/>
  <c r="N13" i="8" s="1"/>
  <c r="L26" i="8"/>
  <c r="N26" i="8" s="1"/>
  <c r="L9" i="8"/>
  <c r="N9" i="8" s="1"/>
  <c r="J16" i="8"/>
  <c r="K16" i="8" s="1"/>
  <c r="AA17" i="3" s="1"/>
  <c r="L25" i="8"/>
  <c r="N25" i="8" s="1"/>
  <c r="L16" i="8"/>
  <c r="N16" i="8" s="1"/>
  <c r="J12" i="8"/>
  <c r="K12" i="8" s="1"/>
  <c r="AA13" i="3" s="1"/>
  <c r="J28" i="8"/>
  <c r="K28" i="8" s="1"/>
  <c r="AA29" i="3" s="1"/>
  <c r="L18" i="8"/>
  <c r="N18" i="8" s="1"/>
  <c r="J14" i="8"/>
  <c r="K14" i="8" s="1"/>
  <c r="AA15" i="3" s="1"/>
  <c r="L28" i="8"/>
  <c r="N28" i="8" s="1"/>
  <c r="J21" i="8"/>
  <c r="K21" i="8" s="1"/>
  <c r="AA22" i="3" s="1"/>
  <c r="J13" i="8"/>
  <c r="K13" i="8" s="1"/>
  <c r="AA14" i="3" s="1"/>
  <c r="J25" i="8"/>
  <c r="K25" i="8" s="1"/>
  <c r="AA26" i="3" s="1"/>
  <c r="L11" i="8"/>
  <c r="N11" i="8" s="1"/>
  <c r="L19" i="8"/>
  <c r="N19" i="8" s="1"/>
  <c r="J11" i="8"/>
  <c r="K11" i="8" s="1"/>
  <c r="AA12" i="3" s="1"/>
  <c r="L17" i="8"/>
  <c r="N17" i="8" s="1"/>
  <c r="J19" i="8"/>
  <c r="K19" i="8" s="1"/>
  <c r="AA20" i="3" s="1"/>
  <c r="L10" i="8"/>
  <c r="N10" i="8" s="1"/>
  <c r="J22" i="8"/>
  <c r="K22" i="8" s="1"/>
  <c r="AA23" i="3" s="1"/>
  <c r="L22" i="8"/>
  <c r="N22" i="8" s="1"/>
  <c r="J18" i="8"/>
  <c r="K18" i="8" s="1"/>
  <c r="AA19" i="3" s="1"/>
  <c r="J24" i="8"/>
  <c r="K24" i="8" s="1"/>
  <c r="AA25" i="3" s="1"/>
  <c r="L24" i="8"/>
  <c r="N24" i="8" s="1"/>
  <c r="L21" i="8"/>
  <c r="N21" i="8" s="1"/>
  <c r="L12" i="8"/>
  <c r="N12" i="8" s="1"/>
  <c r="J27" i="8"/>
  <c r="K27" i="8" s="1"/>
  <c r="AA28" i="3" s="1"/>
  <c r="L27" i="8"/>
  <c r="N27" i="8" s="1"/>
  <c r="J17" i="8"/>
  <c r="K17" i="8" s="1"/>
  <c r="AA18" i="3" s="1"/>
  <c r="J23" i="8"/>
  <c r="K23" i="8" s="1"/>
  <c r="AA24" i="3" s="1"/>
  <c r="L14" i="8"/>
  <c r="N14" i="8" s="1"/>
  <c r="L23" i="8"/>
  <c r="N23" i="8" s="1"/>
  <c r="J45" i="5"/>
  <c r="I60" i="5"/>
  <c r="J41" i="5"/>
  <c r="P29" i="5"/>
  <c r="Q29" i="5"/>
  <c r="I31" i="22" l="1"/>
  <c r="J31" i="22" s="1"/>
  <c r="J11" i="22"/>
  <c r="K11" i="22" s="1"/>
  <c r="L11" i="22" s="1"/>
  <c r="L31" i="22" s="1"/>
  <c r="O28" i="4"/>
  <c r="P28" i="4"/>
  <c r="Q17" i="4" s="1"/>
  <c r="M28" i="4"/>
  <c r="N28" i="4" s="1"/>
  <c r="N29" i="8"/>
  <c r="L29" i="8"/>
  <c r="Q10" i="4"/>
  <c r="Q14" i="4"/>
  <c r="Q13" i="4"/>
  <c r="Q16" i="4"/>
  <c r="Q8" i="4"/>
  <c r="Q11" i="4"/>
  <c r="Q19" i="4"/>
  <c r="Q26" i="4"/>
  <c r="Q21" i="4"/>
  <c r="Q23" i="4"/>
  <c r="Q27" i="4" l="1"/>
  <c r="R27" i="4" s="1"/>
  <c r="Q18" i="4"/>
  <c r="R18" i="4" s="1"/>
  <c r="Q22" i="4"/>
  <c r="G23" i="14" s="1"/>
  <c r="Q12" i="4"/>
  <c r="G13" i="14" s="1"/>
  <c r="Q15" i="4"/>
  <c r="G16" i="14" s="1"/>
  <c r="Q25" i="4"/>
  <c r="R25" i="4" s="1"/>
  <c r="Q24" i="4"/>
  <c r="G25" i="14" s="1"/>
  <c r="Q20" i="4"/>
  <c r="G21" i="14" s="1"/>
  <c r="Q9" i="4"/>
  <c r="R9" i="4" s="1"/>
  <c r="G22" i="14"/>
  <c r="G22" i="13"/>
  <c r="G14" i="14"/>
  <c r="G14" i="13"/>
  <c r="G19" i="14"/>
  <c r="G19" i="13"/>
  <c r="G20" i="14"/>
  <c r="G20" i="13"/>
  <c r="G11" i="14"/>
  <c r="G11" i="13"/>
  <c r="G13" i="13"/>
  <c r="G10" i="13"/>
  <c r="G18" i="14"/>
  <c r="G18" i="13"/>
  <c r="G9" i="14"/>
  <c r="G9" i="13"/>
  <c r="G24" i="14"/>
  <c r="G24" i="13"/>
  <c r="G27" i="14"/>
  <c r="G27" i="13"/>
  <c r="G12" i="14"/>
  <c r="G12" i="13"/>
  <c r="G17" i="14"/>
  <c r="G17" i="13"/>
  <c r="G15" i="14"/>
  <c r="G15" i="13"/>
  <c r="R17" i="4"/>
  <c r="R11" i="4"/>
  <c r="R16" i="4"/>
  <c r="R14" i="4"/>
  <c r="R8" i="4"/>
  <c r="R13" i="4"/>
  <c r="R10" i="4"/>
  <c r="R19" i="4"/>
  <c r="R23" i="4"/>
  <c r="R21" i="4"/>
  <c r="R26" i="4"/>
  <c r="R20" i="4"/>
  <c r="G28" i="14" l="1"/>
  <c r="G26" i="14"/>
  <c r="G25" i="13"/>
  <c r="I25" i="13" s="1"/>
  <c r="J25" i="13" s="1"/>
  <c r="AI26" i="3" s="1"/>
  <c r="R22" i="4"/>
  <c r="U22" i="4" s="1"/>
  <c r="S24" i="3" s="1"/>
  <c r="G26" i="13"/>
  <c r="H26" i="13" s="1"/>
  <c r="G10" i="14"/>
  <c r="H10" i="14" s="1"/>
  <c r="L10" i="14" s="1"/>
  <c r="N10" i="14" s="1"/>
  <c r="G16" i="13"/>
  <c r="I16" i="13" s="1"/>
  <c r="J16" i="13" s="1"/>
  <c r="AI17" i="3" s="1"/>
  <c r="R12" i="4"/>
  <c r="U12" i="4" s="1"/>
  <c r="S14" i="3" s="1"/>
  <c r="G21" i="13"/>
  <c r="I21" i="13" s="1"/>
  <c r="J21" i="13" s="1"/>
  <c r="AI22" i="3" s="1"/>
  <c r="Q28" i="4"/>
  <c r="G28" i="13"/>
  <c r="I28" i="13" s="1"/>
  <c r="J28" i="13" s="1"/>
  <c r="AI29" i="3" s="1"/>
  <c r="R24" i="4"/>
  <c r="G23" i="13"/>
  <c r="H23" i="13" s="1"/>
  <c r="R15" i="4"/>
  <c r="U15" i="4" s="1"/>
  <c r="S17" i="3" s="1"/>
  <c r="H15" i="13"/>
  <c r="I15" i="13"/>
  <c r="J15" i="13" s="1"/>
  <c r="AI16" i="3" s="1"/>
  <c r="I23" i="13"/>
  <c r="J23" i="13" s="1"/>
  <c r="AI24" i="3" s="1"/>
  <c r="I18" i="13"/>
  <c r="J18" i="13" s="1"/>
  <c r="AI19" i="3" s="1"/>
  <c r="H18" i="13"/>
  <c r="H13" i="13"/>
  <c r="I13" i="13"/>
  <c r="J13" i="13" s="1"/>
  <c r="AI14" i="3" s="1"/>
  <c r="I11" i="13"/>
  <c r="J11" i="13" s="1"/>
  <c r="AI12" i="3" s="1"/>
  <c r="H11" i="13"/>
  <c r="S22" i="4"/>
  <c r="T22" i="4" s="1"/>
  <c r="T24" i="3" s="1"/>
  <c r="AF24" i="3"/>
  <c r="AH24" i="3"/>
  <c r="U10" i="4"/>
  <c r="S12" i="3" s="1"/>
  <c r="S10" i="4"/>
  <c r="T10" i="4" s="1"/>
  <c r="T12" i="3" s="1"/>
  <c r="AH12" i="3"/>
  <c r="AF12" i="3"/>
  <c r="U8" i="4"/>
  <c r="S10" i="3" s="1"/>
  <c r="S8" i="4"/>
  <c r="T8" i="4" s="1"/>
  <c r="T10" i="3" s="1"/>
  <c r="AH10" i="3"/>
  <c r="AF10" i="3"/>
  <c r="S12" i="4"/>
  <c r="T12" i="4" s="1"/>
  <c r="T14" i="3" s="1"/>
  <c r="AH14" i="3"/>
  <c r="AF14" i="3"/>
  <c r="U17" i="4"/>
  <c r="S19" i="3" s="1"/>
  <c r="S17" i="4"/>
  <c r="T17" i="4" s="1"/>
  <c r="T19" i="3" s="1"/>
  <c r="AF19" i="3"/>
  <c r="AH19" i="3"/>
  <c r="I15" i="14"/>
  <c r="J15" i="14" s="1"/>
  <c r="AG16" i="3" s="1"/>
  <c r="H15" i="14"/>
  <c r="L15" i="14" s="1"/>
  <c r="N15" i="14" s="1"/>
  <c r="I12" i="14"/>
  <c r="J12" i="14" s="1"/>
  <c r="AG13" i="3" s="1"/>
  <c r="H12" i="14"/>
  <c r="L12" i="14" s="1"/>
  <c r="N12" i="14" s="1"/>
  <c r="I24" i="14"/>
  <c r="J24" i="14" s="1"/>
  <c r="AG25" i="3" s="1"/>
  <c r="H24" i="14"/>
  <c r="L24" i="14" s="1"/>
  <c r="N24" i="14" s="1"/>
  <c r="I23" i="14"/>
  <c r="J23" i="14" s="1"/>
  <c r="AG24" i="3" s="1"/>
  <c r="H23" i="14"/>
  <c r="L23" i="14" s="1"/>
  <c r="N23" i="14" s="1"/>
  <c r="I18" i="14"/>
  <c r="J18" i="14" s="1"/>
  <c r="AG19" i="3" s="1"/>
  <c r="H18" i="14"/>
  <c r="L18" i="14" s="1"/>
  <c r="N18" i="14" s="1"/>
  <c r="I21" i="14"/>
  <c r="J21" i="14" s="1"/>
  <c r="AG22" i="3" s="1"/>
  <c r="H21" i="14"/>
  <c r="L21" i="14" s="1"/>
  <c r="N21" i="14" s="1"/>
  <c r="I13" i="14"/>
  <c r="J13" i="14" s="1"/>
  <c r="AG14" i="3" s="1"/>
  <c r="H13" i="14"/>
  <c r="L13" i="14" s="1"/>
  <c r="N13" i="14" s="1"/>
  <c r="I11" i="14"/>
  <c r="J11" i="14" s="1"/>
  <c r="AG12" i="3" s="1"/>
  <c r="H11" i="14"/>
  <c r="L11" i="14" s="1"/>
  <c r="N11" i="14" s="1"/>
  <c r="I16" i="14"/>
  <c r="J16" i="14" s="1"/>
  <c r="AG17" i="3" s="1"/>
  <c r="H16" i="14"/>
  <c r="L16" i="14" s="1"/>
  <c r="N16" i="14" s="1"/>
  <c r="I14" i="14"/>
  <c r="J14" i="14" s="1"/>
  <c r="AG15" i="3" s="1"/>
  <c r="H14" i="14"/>
  <c r="L14" i="14" s="1"/>
  <c r="N14" i="14" s="1"/>
  <c r="U16" i="4"/>
  <c r="S18" i="3" s="1"/>
  <c r="S16" i="4"/>
  <c r="T16" i="4" s="1"/>
  <c r="T18" i="3" s="1"/>
  <c r="AH18" i="3"/>
  <c r="AF18" i="3"/>
  <c r="H24" i="13"/>
  <c r="I24" i="13"/>
  <c r="J24" i="13" s="1"/>
  <c r="AI25" i="3" s="1"/>
  <c r="H14" i="13"/>
  <c r="I14" i="13"/>
  <c r="J14" i="13" s="1"/>
  <c r="AI15" i="3" s="1"/>
  <c r="U26" i="4"/>
  <c r="S28" i="3" s="1"/>
  <c r="S26" i="4"/>
  <c r="T26" i="4" s="1"/>
  <c r="T28" i="3" s="1"/>
  <c r="AF28" i="3"/>
  <c r="AH28" i="3"/>
  <c r="U19" i="4"/>
  <c r="S21" i="3" s="1"/>
  <c r="S19" i="4"/>
  <c r="T19" i="4" s="1"/>
  <c r="T21" i="3" s="1"/>
  <c r="AF21" i="3"/>
  <c r="AH21" i="3"/>
  <c r="U25" i="4"/>
  <c r="S27" i="3" s="1"/>
  <c r="S25" i="4"/>
  <c r="T25" i="4" s="1"/>
  <c r="T27" i="3" s="1"/>
  <c r="AF27" i="3"/>
  <c r="AH27" i="3"/>
  <c r="U13" i="4"/>
  <c r="S15" i="3" s="1"/>
  <c r="S13" i="4"/>
  <c r="T13" i="4" s="1"/>
  <c r="T15" i="3" s="1"/>
  <c r="AH15" i="3"/>
  <c r="AF15" i="3"/>
  <c r="H17" i="13"/>
  <c r="I17" i="13"/>
  <c r="J17" i="13" s="1"/>
  <c r="AI18" i="3" s="1"/>
  <c r="H27" i="13"/>
  <c r="I27" i="13"/>
  <c r="J27" i="13" s="1"/>
  <c r="AI28" i="3" s="1"/>
  <c r="I9" i="13"/>
  <c r="H9" i="13"/>
  <c r="I10" i="13"/>
  <c r="J10" i="13" s="1"/>
  <c r="AI11" i="3" s="1"/>
  <c r="H10" i="13"/>
  <c r="H25" i="13"/>
  <c r="I20" i="13"/>
  <c r="J20" i="13" s="1"/>
  <c r="AI21" i="3" s="1"/>
  <c r="H20" i="13"/>
  <c r="I19" i="13"/>
  <c r="J19" i="13" s="1"/>
  <c r="AI20" i="3" s="1"/>
  <c r="H19" i="13"/>
  <c r="I22" i="13"/>
  <c r="J22" i="13" s="1"/>
  <c r="AI23" i="3" s="1"/>
  <c r="H22" i="13"/>
  <c r="U18" i="4"/>
  <c r="S20" i="3" s="1"/>
  <c r="S18" i="4"/>
  <c r="T18" i="4" s="1"/>
  <c r="T20" i="3" s="1"/>
  <c r="AF20" i="3"/>
  <c r="AH20" i="3"/>
  <c r="H12" i="13"/>
  <c r="I12" i="13"/>
  <c r="J12" i="13" s="1"/>
  <c r="AI13" i="3" s="1"/>
  <c r="U23" i="4"/>
  <c r="S25" i="3" s="1"/>
  <c r="S23" i="4"/>
  <c r="T23" i="4" s="1"/>
  <c r="T25" i="3" s="1"/>
  <c r="AH25" i="3"/>
  <c r="AF25" i="3"/>
  <c r="U20" i="4"/>
  <c r="S22" i="3" s="1"/>
  <c r="S20" i="4"/>
  <c r="T20" i="4" s="1"/>
  <c r="T22" i="3" s="1"/>
  <c r="AF22" i="3"/>
  <c r="AH22" i="3"/>
  <c r="U21" i="4"/>
  <c r="S23" i="3" s="1"/>
  <c r="S21" i="4"/>
  <c r="T21" i="4" s="1"/>
  <c r="T23" i="3" s="1"/>
  <c r="AH23" i="3"/>
  <c r="AF23" i="3"/>
  <c r="U24" i="4"/>
  <c r="S26" i="3" s="1"/>
  <c r="S24" i="4"/>
  <c r="T24" i="4" s="1"/>
  <c r="T26" i="3" s="1"/>
  <c r="AH26" i="3"/>
  <c r="AF26" i="3"/>
  <c r="U27" i="4"/>
  <c r="S29" i="3" s="1"/>
  <c r="S27" i="4"/>
  <c r="T27" i="4" s="1"/>
  <c r="T29" i="3" s="1"/>
  <c r="AF29" i="3"/>
  <c r="AH29" i="3"/>
  <c r="U14" i="4"/>
  <c r="S16" i="3" s="1"/>
  <c r="S14" i="4"/>
  <c r="T14" i="4" s="1"/>
  <c r="T16" i="3" s="1"/>
  <c r="AH16" i="3"/>
  <c r="AF16" i="3"/>
  <c r="U11" i="4"/>
  <c r="S13" i="3" s="1"/>
  <c r="S11" i="4"/>
  <c r="T11" i="4" s="1"/>
  <c r="T13" i="3" s="1"/>
  <c r="AF13" i="3"/>
  <c r="AH13" i="3"/>
  <c r="U9" i="4"/>
  <c r="S11" i="3" s="1"/>
  <c r="S9" i="4"/>
  <c r="T9" i="4" s="1"/>
  <c r="T11" i="3" s="1"/>
  <c r="AF11" i="3"/>
  <c r="AH11" i="3"/>
  <c r="I17" i="14"/>
  <c r="J17" i="14" s="1"/>
  <c r="AG18" i="3" s="1"/>
  <c r="H17" i="14"/>
  <c r="L17" i="14" s="1"/>
  <c r="N17" i="14" s="1"/>
  <c r="I27" i="14"/>
  <c r="J27" i="14" s="1"/>
  <c r="AG28" i="3" s="1"/>
  <c r="H27" i="14"/>
  <c r="L27" i="14" s="1"/>
  <c r="N27" i="14" s="1"/>
  <c r="I26" i="14"/>
  <c r="J26" i="14" s="1"/>
  <c r="AG27" i="3" s="1"/>
  <c r="H26" i="14"/>
  <c r="L26" i="14" s="1"/>
  <c r="N26" i="14" s="1"/>
  <c r="I9" i="14"/>
  <c r="J9" i="14" s="1"/>
  <c r="H9" i="14"/>
  <c r="L9" i="14" s="1"/>
  <c r="N9" i="14" s="1"/>
  <c r="N29" i="14" s="1"/>
  <c r="I10" i="14"/>
  <c r="J10" i="14" s="1"/>
  <c r="AG11" i="3" s="1"/>
  <c r="I25" i="14"/>
  <c r="J25" i="14" s="1"/>
  <c r="AG26" i="3" s="1"/>
  <c r="H25" i="14"/>
  <c r="L25" i="14" s="1"/>
  <c r="N25" i="14" s="1"/>
  <c r="I28" i="14"/>
  <c r="J28" i="14" s="1"/>
  <c r="AG29" i="3" s="1"/>
  <c r="H28" i="14"/>
  <c r="L28" i="14" s="1"/>
  <c r="N28" i="14" s="1"/>
  <c r="I20" i="14"/>
  <c r="J20" i="14" s="1"/>
  <c r="AG21" i="3" s="1"/>
  <c r="H20" i="14"/>
  <c r="L20" i="14" s="1"/>
  <c r="N20" i="14" s="1"/>
  <c r="I19" i="14"/>
  <c r="J19" i="14" s="1"/>
  <c r="AG20" i="3" s="1"/>
  <c r="H19" i="14"/>
  <c r="L19" i="14" s="1"/>
  <c r="N19" i="14" s="1"/>
  <c r="I22" i="14"/>
  <c r="J22" i="14" s="1"/>
  <c r="AG23" i="3" s="1"/>
  <c r="H22" i="14"/>
  <c r="L22" i="14" s="1"/>
  <c r="N22" i="14" s="1"/>
  <c r="R28" i="4"/>
  <c r="U28" i="4" s="1"/>
  <c r="AE30" i="3"/>
  <c r="I30" i="3"/>
  <c r="J26" i="3" s="1"/>
  <c r="K26" i="3" s="1"/>
  <c r="E30" i="3"/>
  <c r="B30" i="3"/>
  <c r="J29" i="3"/>
  <c r="K29" i="3" s="1"/>
  <c r="L29" i="3" s="1"/>
  <c r="C29" i="3"/>
  <c r="C28" i="3"/>
  <c r="C27" i="3"/>
  <c r="D26" i="3"/>
  <c r="F26" i="3" s="1"/>
  <c r="G26" i="3" s="1"/>
  <c r="H26" i="3" s="1"/>
  <c r="C26" i="3"/>
  <c r="C25" i="3"/>
  <c r="D24" i="3"/>
  <c r="F24" i="3" s="1"/>
  <c r="G24" i="3" s="1"/>
  <c r="H24" i="3" s="1"/>
  <c r="C24" i="3"/>
  <c r="C23" i="3"/>
  <c r="D22" i="3"/>
  <c r="F22" i="3" s="1"/>
  <c r="G22" i="3" s="1"/>
  <c r="H22" i="3" s="1"/>
  <c r="C22" i="3"/>
  <c r="C21" i="3"/>
  <c r="H28" i="13" l="1"/>
  <c r="H21" i="13"/>
  <c r="H16" i="13"/>
  <c r="I26" i="13"/>
  <c r="J26" i="13" s="1"/>
  <c r="AI27" i="3" s="1"/>
  <c r="S30" i="3"/>
  <c r="AF17" i="3"/>
  <c r="AH17" i="3"/>
  <c r="AH30" i="3" s="1"/>
  <c r="S15" i="4"/>
  <c r="T15" i="4" s="1"/>
  <c r="T17" i="3" s="1"/>
  <c r="AF30" i="3"/>
  <c r="AG10" i="3"/>
  <c r="AG30" i="3" s="1"/>
  <c r="J29" i="14"/>
  <c r="T28" i="4"/>
  <c r="J21" i="3"/>
  <c r="K21" i="3" s="1"/>
  <c r="L21" i="3" s="1"/>
  <c r="J22" i="3"/>
  <c r="K22" i="3" s="1"/>
  <c r="J25" i="3"/>
  <c r="K25" i="3" s="1"/>
  <c r="L25" i="3" s="1"/>
  <c r="J28" i="3"/>
  <c r="K28" i="3" s="1"/>
  <c r="J23" i="3"/>
  <c r="K23" i="3" s="1"/>
  <c r="L23" i="3" s="1"/>
  <c r="J24" i="3"/>
  <c r="K24" i="3" s="1"/>
  <c r="J27" i="3"/>
  <c r="K27" i="3" s="1"/>
  <c r="L27" i="3" s="1"/>
  <c r="D10" i="3"/>
  <c r="D12" i="3"/>
  <c r="F12" i="3" s="1"/>
  <c r="G12" i="3" s="1"/>
  <c r="H12" i="3" s="1"/>
  <c r="D14" i="3"/>
  <c r="F14" i="3" s="1"/>
  <c r="G14" i="3" s="1"/>
  <c r="H14" i="3" s="1"/>
  <c r="D16" i="3"/>
  <c r="F16" i="3" s="1"/>
  <c r="G16" i="3" s="1"/>
  <c r="H16" i="3" s="1"/>
  <c r="D18" i="3"/>
  <c r="F18" i="3" s="1"/>
  <c r="G18" i="3" s="1"/>
  <c r="H18" i="3" s="1"/>
  <c r="D20" i="3"/>
  <c r="F20" i="3" s="1"/>
  <c r="G20" i="3" s="1"/>
  <c r="H20" i="3" s="1"/>
  <c r="D11" i="3"/>
  <c r="F11" i="3" s="1"/>
  <c r="G11" i="3" s="1"/>
  <c r="H11" i="3" s="1"/>
  <c r="D13" i="3"/>
  <c r="F13" i="3" s="1"/>
  <c r="G13" i="3" s="1"/>
  <c r="H13" i="3" s="1"/>
  <c r="D15" i="3"/>
  <c r="F15" i="3" s="1"/>
  <c r="G15" i="3" s="1"/>
  <c r="H15" i="3" s="1"/>
  <c r="D17" i="3"/>
  <c r="F17" i="3" s="1"/>
  <c r="G17" i="3" s="1"/>
  <c r="H17" i="3" s="1"/>
  <c r="D19" i="3"/>
  <c r="F19" i="3" s="1"/>
  <c r="G19" i="3" s="1"/>
  <c r="H19" i="3" s="1"/>
  <c r="D23" i="3"/>
  <c r="F23" i="3" s="1"/>
  <c r="G23" i="3" s="1"/>
  <c r="H23" i="3" s="1"/>
  <c r="D27" i="3"/>
  <c r="F27" i="3" s="1"/>
  <c r="G27" i="3" s="1"/>
  <c r="H27" i="3" s="1"/>
  <c r="J10" i="3"/>
  <c r="J11" i="3"/>
  <c r="K11" i="3" s="1"/>
  <c r="J12" i="3"/>
  <c r="K12" i="3" s="1"/>
  <c r="J13" i="3"/>
  <c r="K13" i="3" s="1"/>
  <c r="J14" i="3"/>
  <c r="K14" i="3" s="1"/>
  <c r="J15" i="3"/>
  <c r="K15" i="3" s="1"/>
  <c r="J16" i="3"/>
  <c r="K16" i="3" s="1"/>
  <c r="J17" i="3"/>
  <c r="K17" i="3" s="1"/>
  <c r="J18" i="3"/>
  <c r="K18" i="3" s="1"/>
  <c r="J19" i="3"/>
  <c r="K19" i="3" s="1"/>
  <c r="J20" i="3"/>
  <c r="K20" i="3" s="1"/>
  <c r="D28" i="3"/>
  <c r="F28" i="3" s="1"/>
  <c r="G28" i="3" s="1"/>
  <c r="H28" i="3" s="1"/>
  <c r="D21" i="3"/>
  <c r="F21" i="3" s="1"/>
  <c r="G21" i="3" s="1"/>
  <c r="H21" i="3" s="1"/>
  <c r="M21" i="3" s="1"/>
  <c r="D25" i="3"/>
  <c r="F25" i="3" s="1"/>
  <c r="G25" i="3" s="1"/>
  <c r="H25" i="3" s="1"/>
  <c r="D29" i="3"/>
  <c r="F29" i="3" s="1"/>
  <c r="G29" i="3" s="1"/>
  <c r="H29" i="3" s="1"/>
  <c r="M29" i="3" s="1"/>
  <c r="C30" i="3"/>
  <c r="N22" i="3"/>
  <c r="O22" i="3" s="1"/>
  <c r="N26" i="3"/>
  <c r="O26" i="3" s="1"/>
  <c r="N28" i="3"/>
  <c r="O28" i="3" s="1"/>
  <c r="N24" i="3"/>
  <c r="O24" i="3" s="1"/>
  <c r="N21" i="3"/>
  <c r="O21" i="3" s="1"/>
  <c r="L22" i="3"/>
  <c r="M22" i="3" s="1"/>
  <c r="N23" i="3"/>
  <c r="O23" i="3" s="1"/>
  <c r="L24" i="3"/>
  <c r="L26" i="3"/>
  <c r="M26" i="3" s="1"/>
  <c r="N27" i="3"/>
  <c r="O27" i="3" s="1"/>
  <c r="L28" i="3"/>
  <c r="M23" i="3" l="1"/>
  <c r="N29" i="3"/>
  <c r="O29" i="3" s="1"/>
  <c r="M27" i="3"/>
  <c r="M25" i="3"/>
  <c r="N25" i="3"/>
  <c r="O25" i="3" s="1"/>
  <c r="M28" i="3"/>
  <c r="L20" i="3"/>
  <c r="M20" i="3" s="1"/>
  <c r="N20" i="3"/>
  <c r="O20" i="3" s="1"/>
  <c r="L16" i="3"/>
  <c r="M16" i="3" s="1"/>
  <c r="N16" i="3"/>
  <c r="O16" i="3" s="1"/>
  <c r="L12" i="3"/>
  <c r="M12" i="3" s="1"/>
  <c r="N12" i="3"/>
  <c r="O12" i="3" s="1"/>
  <c r="L19" i="3"/>
  <c r="M19" i="3" s="1"/>
  <c r="N19" i="3"/>
  <c r="O19" i="3" s="1"/>
  <c r="L15" i="3"/>
  <c r="M15" i="3" s="1"/>
  <c r="N15" i="3"/>
  <c r="O15" i="3" s="1"/>
  <c r="L11" i="3"/>
  <c r="M11" i="3" s="1"/>
  <c r="N11" i="3"/>
  <c r="O11" i="3" s="1"/>
  <c r="K10" i="3"/>
  <c r="J30" i="3"/>
  <c r="N18" i="3"/>
  <c r="O18" i="3" s="1"/>
  <c r="L18" i="3"/>
  <c r="M18" i="3" s="1"/>
  <c r="N14" i="3"/>
  <c r="O14" i="3" s="1"/>
  <c r="L14" i="3"/>
  <c r="M14" i="3" s="1"/>
  <c r="N17" i="3"/>
  <c r="O17" i="3" s="1"/>
  <c r="L17" i="3"/>
  <c r="M17" i="3" s="1"/>
  <c r="N13" i="3"/>
  <c r="O13" i="3" s="1"/>
  <c r="L13" i="3"/>
  <c r="M13" i="3" s="1"/>
  <c r="F10" i="3"/>
  <c r="G10" i="3" s="1"/>
  <c r="D30" i="3"/>
  <c r="F30" i="3" s="1"/>
  <c r="M24" i="3"/>
  <c r="H10" i="3" l="1"/>
  <c r="H30" i="3" s="1"/>
  <c r="G30" i="3"/>
  <c r="L10" i="3"/>
  <c r="N10" i="3"/>
  <c r="K30" i="3"/>
  <c r="O10" i="3" l="1"/>
  <c r="N30" i="3"/>
  <c r="M10" i="3"/>
  <c r="L30" i="3"/>
  <c r="M30" i="3" s="1"/>
  <c r="O30" i="3" l="1"/>
  <c r="P10" i="3" s="1"/>
  <c r="Q10" i="3" l="1"/>
  <c r="P16" i="3"/>
  <c r="Q16" i="3" s="1"/>
  <c r="R16" i="3" s="1"/>
  <c r="P19" i="3"/>
  <c r="Q19" i="3" s="1"/>
  <c r="R19" i="3" s="1"/>
  <c r="P18" i="3"/>
  <c r="Q18" i="3" s="1"/>
  <c r="R18" i="3" s="1"/>
  <c r="P12" i="3"/>
  <c r="Q12" i="3" s="1"/>
  <c r="R12" i="3" s="1"/>
  <c r="P13" i="3"/>
  <c r="Q13" i="3" s="1"/>
  <c r="R13" i="3" s="1"/>
  <c r="P17" i="3"/>
  <c r="Q17" i="3" s="1"/>
  <c r="R17" i="3" s="1"/>
  <c r="P20" i="3"/>
  <c r="Q20" i="3" s="1"/>
  <c r="R20" i="3" s="1"/>
  <c r="P15" i="3"/>
  <c r="Q15" i="3" s="1"/>
  <c r="R15" i="3" s="1"/>
  <c r="P11" i="3"/>
  <c r="Q11" i="3" s="1"/>
  <c r="R11" i="3" s="1"/>
  <c r="P14" i="3"/>
  <c r="Q14" i="3" s="1"/>
  <c r="R14" i="3" s="1"/>
  <c r="P22" i="3"/>
  <c r="Q22" i="3" s="1"/>
  <c r="R22" i="3" s="1"/>
  <c r="P25" i="3"/>
  <c r="Q25" i="3" s="1"/>
  <c r="R25" i="3" s="1"/>
  <c r="P23" i="3"/>
  <c r="Q23" i="3" s="1"/>
  <c r="R23" i="3" s="1"/>
  <c r="P28" i="3"/>
  <c r="Q28" i="3" s="1"/>
  <c r="R28" i="3" s="1"/>
  <c r="P26" i="3"/>
  <c r="Q26" i="3" s="1"/>
  <c r="R26" i="3" s="1"/>
  <c r="P27" i="3"/>
  <c r="Q27" i="3" s="1"/>
  <c r="R27" i="3" s="1"/>
  <c r="P21" i="3"/>
  <c r="Q21" i="3" s="1"/>
  <c r="R21" i="3" s="1"/>
  <c r="P24" i="3"/>
  <c r="Q24" i="3" s="1"/>
  <c r="R24" i="3" s="1"/>
  <c r="P29" i="3"/>
  <c r="Q29" i="3" s="1"/>
  <c r="R29" i="3" s="1"/>
  <c r="T30" i="3"/>
  <c r="R10" i="3" l="1"/>
  <c r="R30" i="3" s="1"/>
  <c r="Q30" i="3"/>
  <c r="P30" i="3"/>
  <c r="J9" i="13"/>
  <c r="K9" i="8"/>
  <c r="K29" i="8" s="1"/>
  <c r="J29" i="13" l="1"/>
  <c r="AI10" i="3"/>
  <c r="AI30" i="3" s="1"/>
  <c r="AA10" i="3"/>
  <c r="AA30" i="3" s="1"/>
</calcChain>
</file>

<file path=xl/sharedStrings.xml><?xml version="1.0" encoding="utf-8"?>
<sst xmlns="http://schemas.openxmlformats.org/spreadsheetml/2006/main" count="2092" uniqueCount="442">
  <si>
    <t>FONDO GENERAL DE PARTICIPACIONES</t>
  </si>
  <si>
    <t>ENERO</t>
  </si>
  <si>
    <t>FEBRERO</t>
  </si>
  <si>
    <t>MARZO</t>
  </si>
  <si>
    <t>ABRIL</t>
  </si>
  <si>
    <t>MAYO</t>
  </si>
  <si>
    <t>JUNIO</t>
  </si>
  <si>
    <t>JULIO</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</si>
  <si>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</si>
  <si>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</si>
  <si>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</si>
  <si>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</si>
  <si>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</si>
  <si>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</si>
  <si>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</si>
  <si>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</si>
  <si>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</si>
  <si>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</si>
  <si>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</si>
  <si>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</si>
  <si>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</si>
  <si>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</si>
  <si>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</si>
  <si>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</si>
  <si>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</si>
  <si>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</si>
  <si>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</si>
  <si>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</si>
  <si>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</si>
  <si>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</si>
  <si>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</si>
  <si>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</si>
  <si>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</si>
  <si>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</si>
  <si>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</si>
  <si>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</si>
  <si>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</si>
  <si>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</si>
  <si>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</si>
  <si>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</si>
  <si>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</si>
  <si>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</si>
  <si>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</si>
  <si>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</si>
  <si>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</si>
  <si>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</si>
  <si>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</si>
  <si>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</si>
  <si>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</si>
  <si>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</si>
  <si>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</si>
  <si>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</si>
  <si>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</si>
  <si>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</si>
  <si>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</si>
  <si>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</si>
  <si>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</si>
  <si>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</si>
  <si>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</si>
  <si>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</si>
  <si>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</si>
  <si>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</si>
  <si>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</si>
  <si>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</si>
  <si>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</si>
  <si>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</si>
  <si>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</si>
  <si>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</si>
  <si>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</si>
  <si>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</si>
  <si>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</si>
  <si>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Intercensal 2015</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</si>
  <si>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</si>
  <si>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</si>
  <si>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</si>
  <si>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</si>
  <si>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</si>
  <si>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</si>
  <si>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</si>
  <si>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</si>
  <si>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</si>
  <si>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</si>
  <si>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</si>
  <si>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</si>
  <si>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</si>
  <si>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</si>
  <si>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</si>
  <si>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</si>
  <si>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</si>
  <si>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</si>
  <si>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</si>
  <si>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</si>
  <si>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</si>
  <si>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</si>
  <si>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</si>
  <si>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</si>
  <si>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</si>
  <si>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</si>
  <si>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</si>
  <si>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</si>
  <si>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</si>
  <si>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</si>
  <si>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</si>
  <si>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</si>
  <si>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</si>
  <si>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</si>
  <si>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</si>
  <si>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</si>
  <si>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</si>
  <si>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</si>
  <si>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</si>
  <si>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</si>
  <si>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</si>
  <si>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</si>
  <si>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</si>
  <si>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</si>
  <si>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</si>
  <si>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</si>
  <si>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</si>
  <si>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</si>
  <si>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</si>
  <si>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</si>
  <si>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</si>
  <si>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</si>
  <si>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</si>
  <si>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</si>
  <si>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</si>
  <si>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</si>
  <si>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</si>
  <si>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</si>
  <si>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</si>
  <si>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</si>
  <si>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</si>
  <si>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</si>
  <si>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</si>
  <si>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</si>
  <si>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</si>
  <si>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</si>
  <si>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</si>
  <si>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</si>
  <si>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</si>
  <si>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</si>
  <si>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</si>
  <si>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</si>
  <si>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</si>
  <si>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</si>
  <si>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</si>
  <si>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</si>
  <si>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</si>
  <si>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</si>
  <si>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</si>
  <si>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</si>
  <si>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</si>
  <si>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</si>
  <si>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</si>
  <si>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</si>
  <si>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</si>
  <si>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</si>
  <si>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</si>
  <si>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</si>
  <si>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</si>
  <si>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</si>
  <si>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</si>
  <si>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</si>
  <si>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</si>
  <si>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</si>
  <si>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</si>
  <si>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</si>
  <si>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</si>
  <si>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</si>
  <si>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</si>
  <si>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 xml:space="preserve"> Encuesta Intercensal  de Población y Vivienda  2015</t>
  </si>
  <si>
    <t>fuente:</t>
  </si>
  <si>
    <t>Encuesta Intercensal 2015 Publicada en el Portal del INEGI 08 de Dic 2015</t>
  </si>
  <si>
    <t>Cuadro 9</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</si>
  <si>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</si>
  <si>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</si>
  <si>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</si>
  <si>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</si>
  <si>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</si>
  <si>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</si>
  <si>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</si>
  <si>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</si>
  <si>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</si>
  <si>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</si>
  <si>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</si>
  <si>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</si>
  <si>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</si>
  <si>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</si>
  <si>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</si>
  <si>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</si>
  <si>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</si>
  <si>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</si>
  <si>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</si>
  <si>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</si>
  <si>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</si>
  <si>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</si>
  <si>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</si>
  <si>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</si>
  <si>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</si>
  <si>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</si>
  <si>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</si>
  <si>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</si>
  <si>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</si>
  <si>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</si>
  <si>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</si>
  <si>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</si>
  <si>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</si>
  <si>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</si>
  <si>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</si>
  <si>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</si>
  <si>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</si>
  <si>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Distribución x</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</si>
  <si>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</si>
  <si>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</si>
  <si>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</si>
  <si>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</si>
  <si>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</si>
  <si>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</si>
  <si>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</si>
  <si>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</si>
  <si>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</si>
  <si>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</si>
  <si>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</si>
  <si>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</si>
  <si>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</si>
  <si>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</si>
  <si>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</si>
  <si>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</si>
  <si>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</si>
  <si>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</si>
  <si>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</si>
  <si>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</si>
  <si>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</si>
  <si>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</si>
  <si>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</si>
  <si>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</si>
  <si>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</si>
  <si>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</si>
  <si>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</si>
  <si>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</si>
  <si>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</si>
  <si>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</si>
  <si>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</si>
  <si>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</si>
  <si>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</si>
  <si>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</si>
  <si>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</si>
  <si>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</si>
  <si>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</si>
  <si>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</si>
  <si>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</si>
  <si>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</si>
  <si>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</si>
  <si>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</si>
  <si>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</si>
  <si>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</si>
  <si>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</si>
  <si>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</si>
  <si>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</si>
  <si>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</si>
  <si>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</si>
  <si>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</si>
  <si>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</si>
  <si>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</si>
  <si>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</si>
  <si>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</si>
  <si>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</si>
  <si>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Población 2015</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</si>
  <si>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</si>
  <si>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</si>
  <si>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</si>
  <si>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</si>
  <si>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</si>
  <si>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</si>
  <si>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</si>
  <si>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Población                                2015</t>
  </si>
  <si>
    <t>Fondo General de Participaciones</t>
  </si>
  <si>
    <t>Coeficiente Efectivo</t>
  </si>
  <si>
    <t>Importe</t>
  </si>
  <si>
    <t>Componente solo para los que Suscribieron Convenio para el Cobro de Predial</t>
  </si>
  <si>
    <t>(Pesos)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</si>
  <si>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</si>
  <si>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</si>
  <si>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</si>
  <si>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</si>
  <si>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</si>
  <si>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</si>
  <si>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</si>
  <si>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</si>
  <si>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</si>
  <si>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</si>
  <si>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</si>
  <si>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</si>
  <si>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</si>
  <si>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</si>
  <si>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</si>
  <si>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</si>
  <si>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</si>
  <si>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</si>
  <si>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</si>
  <si>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</si>
  <si>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</si>
  <si>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 xml:space="preserve"> POBLACION.-</t>
    </r>
    <r>
      <rPr>
        <i/>
        <sz val="9"/>
        <color theme="1"/>
        <rFont val="Arial"/>
        <family val="2"/>
      </rPr>
      <t xml:space="preserve"> Encuesta Intercensal de 2015. publicada el 8 de diciembre de 2015 en el Portal del INEGI </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</si>
  <si>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</si>
  <si>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i/>
        <sz val="9"/>
        <color theme="1"/>
        <rFont val="Calibri"/>
        <family val="2"/>
        <scheme val="minor"/>
      </rPr>
      <t xml:space="preserve"> POBLACION.-</t>
    </r>
    <r>
      <rPr>
        <i/>
        <sz val="9"/>
        <color theme="1"/>
        <rFont val="Calibri"/>
        <family val="2"/>
        <scheme val="minor"/>
      </rPr>
      <t xml:space="preserve"> Encuesta Intercensal de 2015. publicada el 8 de diciembre de 2015 en el Portal del INEGI </t>
    </r>
  </si>
  <si>
    <r>
      <rPr>
        <b/>
        <i/>
        <sz val="9"/>
        <color theme="1"/>
        <rFont val="Calibri"/>
        <family val="2"/>
        <scheme val="minor"/>
      </rPr>
      <t>PREDIAL Y AGUA.-</t>
    </r>
    <r>
      <rPr>
        <i/>
        <sz val="9"/>
        <color theme="1"/>
        <rFont val="Calibri"/>
        <family val="2"/>
        <scheme val="minor"/>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</si>
  <si>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</si>
  <si>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(6= 2+5)</t>
  </si>
  <si>
    <t>(6=5*.10)</t>
  </si>
  <si>
    <t>(8=2+4+7)</t>
  </si>
  <si>
    <t>(8=2+4+79</t>
  </si>
  <si>
    <t>Total a Distribuir por Crecimiento 2020</t>
  </si>
  <si>
    <t>Total Fondo de Fondo de Fomento Municipal 2020</t>
  </si>
  <si>
    <t>Crecimiento del IEPS  en 2020</t>
  </si>
  <si>
    <t>Factor de Distribución 2020</t>
  </si>
  <si>
    <t>Distribución para el 2020</t>
  </si>
  <si>
    <t>Crecimiento en el Impuesto para 2020</t>
  </si>
  <si>
    <t>Crecimiento del FOFIR 2020</t>
  </si>
  <si>
    <t>SUMA DE COEFICIENTES  EFECTIVOS  PARA 2020</t>
  </si>
  <si>
    <t>Estimación de Participaciones Federales que Recibirán cada uno de los Veinte Municipios del Estado de Nayarit en el Ejercicio Fiscal 2020</t>
  </si>
  <si>
    <t>Ejercicio:                                       2020</t>
  </si>
  <si>
    <t>Fondo General de Participaciones recibido en la Entidad 2020 (determinado por Hacienda)</t>
  </si>
  <si>
    <t>Fondo General de Participaciones crecimiento 2020 (3-4)</t>
  </si>
  <si>
    <t>5.1 Primera parte 60% del crecimiento 2020</t>
  </si>
  <si>
    <t>5.2 Segunda parte 30% del crecimiento 2020</t>
  </si>
  <si>
    <t>5.3 Tercera parte 10% del crecimiento 2020</t>
  </si>
  <si>
    <t>Total Fondo General de Participaciones a distribuir en 2020 (3 + 4)</t>
  </si>
  <si>
    <t>Fondo de Fomento Municipal recibido en la Entidad 2020 (determinado por Hacienda)</t>
  </si>
  <si>
    <t>Crecimiento del Fondo de Fomento Municipal 2020 (1-2)</t>
  </si>
  <si>
    <t>10.2 Segunda parte 30% del crecimiento 2020</t>
  </si>
  <si>
    <t>Fondo de Fiscalizacion recibido en la Entidad 2020 (determinado por Hacienda)</t>
  </si>
  <si>
    <t>Crecimiento del Fondo de Fiscalizacion en 2020 (9-10)</t>
  </si>
  <si>
    <t>Fondo de Compensacion recibido en la Entidad 2020 (determinado por Hacienda)</t>
  </si>
  <si>
    <t>Crecimiento del Fondo de Compensación en 2020 (12-13)</t>
  </si>
  <si>
    <t>Fondo de Impuesto sobre la renta recibido en la Entidad 2020 (determinado por Hacienda)</t>
  </si>
  <si>
    <t>Crecimiento del Fondo de ISR 2020 (15-16)</t>
  </si>
  <si>
    <t>Impuesto Especial s/Producción y Servicios  recibido en la Entidad 2020 (determinado por Hacienda)</t>
  </si>
  <si>
    <t>Crecimiento del Impuesto Especial s/Producción y Servicios en 2020 (18-19)</t>
  </si>
  <si>
    <t>Impuesto Especial s/Producción y Servicios  (G y D)recibido en la Entidad 2020 (determinado por Hacienda)</t>
  </si>
  <si>
    <t>Crecimiento del Impuesto Especial s/Producción y Servicios en 2020 (21-22)</t>
  </si>
  <si>
    <t>Impuesto sobre automóviles nuevos ISAN, recibido en la Entidad 2020 (determinado por Hacienda)</t>
  </si>
  <si>
    <t>Crecimiento del Impuesto sobre Automóviles Nuevos ISAN en 2020 (24-25)</t>
  </si>
  <si>
    <t>Fondo de Compensacion sobre el ISAN, recibido en la Entidad 2020 (determinado por Hacienda)</t>
  </si>
  <si>
    <t>FACTOR DE DISTRIBUCION 2014</t>
  </si>
  <si>
    <t>DISTRIBUIDO EN 2014</t>
  </si>
  <si>
    <t>COMPONENTE DEL 70%</t>
  </si>
  <si>
    <t>COMPONENTE DEL 30%</t>
  </si>
  <si>
    <t>COEFICIENTE EFECTIVO DE PARTICIPACION</t>
  </si>
  <si>
    <t xml:space="preserve">FACTOR DE POBLACION FACTOR DIRECTO </t>
  </si>
  <si>
    <t>COEFICIENTE EFECTIVO POR POBLACION</t>
  </si>
  <si>
    <t>FACTOR INVERSO A LA POBLACION</t>
  </si>
  <si>
    <t>PORCENTAJE INVERSO</t>
  </si>
  <si>
    <t>COEFICIENTE EFECTIVO INVERSO A POBLACION (30%)</t>
  </si>
  <si>
    <t>DE</t>
  </si>
  <si>
    <t>FOCO</t>
  </si>
  <si>
    <t>A PARTICIPAR</t>
  </si>
  <si>
    <t>(4= 1*.70)</t>
  </si>
  <si>
    <t>(5 = Inv de 1)</t>
  </si>
  <si>
    <t>(6=5/∑5)100</t>
  </si>
  <si>
    <t>(7=6*.30)</t>
  </si>
  <si>
    <t>(8= 4+7)</t>
  </si>
  <si>
    <t>(10=(2+9)</t>
  </si>
  <si>
    <t>Las cifras parciales pueden no coincidir con el total debido al redondeo</t>
  </si>
  <si>
    <t>FUENTES:</t>
  </si>
  <si>
    <r>
      <t xml:space="preserve"> </t>
    </r>
    <r>
      <rPr>
        <i/>
        <sz val="11"/>
        <color theme="1"/>
        <rFont val="Calibri"/>
        <family val="2"/>
        <scheme val="minor"/>
      </rPr>
      <t>POBLACION</t>
    </r>
    <r>
      <rPr>
        <sz val="11"/>
        <color theme="1"/>
        <rFont val="Calibri"/>
        <family val="2"/>
        <scheme val="minor"/>
      </rPr>
      <t xml:space="preserve">.- encuesta intercensal de 2015. publicada en el Portal del INEGI el 08 de diciembre de 2015. </t>
    </r>
  </si>
  <si>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</si>
  <si>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CRECIMIENTO DEL FOCO 2020</t>
  </si>
  <si>
    <t>10.1 Primera parte 70% del crecimiento 2020</t>
  </si>
  <si>
    <t>Suma (10.1 + 10.2) = (10)</t>
  </si>
  <si>
    <t>Total Fondo  de Fomento  Municipal a distribuir en 2020 (8 + 9)</t>
  </si>
  <si>
    <r>
      <rPr>
        <b/>
        <sz val="11"/>
        <color theme="1"/>
        <rFont val="Arial"/>
        <family val="2"/>
      </rPr>
      <t>Población:</t>
    </r>
    <r>
      <rPr>
        <sz val="11"/>
        <color theme="1"/>
        <rFont val="Arial"/>
        <family val="2"/>
      </rPr>
      <t xml:space="preserve"> Censo Nacional de Población y Vivienda 2015 de INEGI</t>
    </r>
  </si>
  <si>
    <r>
      <rPr>
        <b/>
        <i/>
        <sz val="9"/>
        <color theme="1"/>
        <rFont val="Arial"/>
        <family val="2"/>
      </rPr>
      <t>FACTORES 2020.-</t>
    </r>
    <r>
      <rPr>
        <i/>
        <sz val="9"/>
        <color theme="1"/>
        <rFont val="Arial"/>
        <family val="2"/>
      </rPr>
      <t xml:space="preserve"> Decreto que establece los factores de distribución de las Participaciones Federales que en ingresos corresponden a los Municipios de la Entidad, para el ejercicio fiscal 2020. Publicado el 30 de diciembre de 2019.</t>
    </r>
  </si>
  <si>
    <t>FACTORES 2020.- Decreto que establece los factores de distribución de las Participaciones Federales que en ingresos corresponden a los Municipios de la Entidad, para el ejercicio fiscal 2020. Publicado el 30 de diciembre de 2019.</t>
  </si>
  <si>
    <t>ESTIMACION 2014: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</si>
  <si>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Calculo de distribución de la estimación del Fondo de Compensación a los Municipios de 2020</t>
  </si>
  <si>
    <t>Calculo de distribución  de la estimación del Impuesto Especial Sobre Producción y Servicios de 2020</t>
  </si>
  <si>
    <t>Calculo de distribución  de la estimación del Fondo de Fomento Municipal de 2020</t>
  </si>
  <si>
    <t>Calculo de distribución  de la estimación  del Fondo General de Participaciones de 2020</t>
  </si>
  <si>
    <t>Calculo de distribución de la estimación de Nuevas Potestades (Gasolinas y Diesel) 2020</t>
  </si>
  <si>
    <t xml:space="preserve">Calculo de distribución de la estimación del Fondo de Fiscalización y Recaudación de 2020 </t>
  </si>
  <si>
    <t>Calculo de distribución de la estimación del Fondo de Compensación del  Impuesto Sobre Automóviles Nuevos de 2020</t>
  </si>
  <si>
    <t>Calculo de distribución de la estimación de los Incentivos por el Impuesto Sobre Automóviles Nuevos de 2020</t>
  </si>
  <si>
    <t>ANEXO I</t>
  </si>
  <si>
    <t>CALENDARIO DE ENTREGA DE PARTICIPACIONES FEDERALES A LOS MUNICIPIOS CORRESPONDIENTE AL EJERCICIO FISCAL 2020</t>
  </si>
  <si>
    <t>CALENDARIO DE ENTREGA PARA EL EJERCICIO FISCAL 2020</t>
  </si>
  <si>
    <t>MES</t>
  </si>
  <si>
    <t>FONDO DE FOMENTO MUNICIPAL</t>
  </si>
  <si>
    <t>FECHA LIMITE DE ENTREGA</t>
  </si>
  <si>
    <t>7</t>
  </si>
  <si>
    <t>2</t>
  </si>
  <si>
    <t>5</t>
  </si>
  <si>
    <t>6</t>
  </si>
  <si>
    <t>4</t>
  </si>
  <si>
    <t>29</t>
  </si>
  <si>
    <t>1</t>
  </si>
  <si>
    <t>30</t>
  </si>
  <si>
    <t>ENERO 2021</t>
  </si>
  <si>
    <t>IMPUESTO ESPECIAL SOBRE PRODUCCION Y SERVICIOS</t>
  </si>
  <si>
    <t>NUEVAS POTESTADES (GASOLINA Y DIESEL)</t>
  </si>
  <si>
    <t>FONDO DE FISCALIZACION Y RECAUDACION</t>
  </si>
  <si>
    <t>FONDO DE COMPENSACION</t>
  </si>
  <si>
    <t>FONDO DE COMPENSACIÓN DEL IMPUESTO SOBRE AUTOMOVILES NUEVOS</t>
  </si>
  <si>
    <t>IMPUESTO SOBRE TENENCIA O USO DE VEHÍCULOS E IMPUESTO SOBRE AUTOMOVILES NUEVOS</t>
  </si>
  <si>
    <t>AYUNTAMIENTO</t>
  </si>
  <si>
    <t>A MUNICIPIOS</t>
  </si>
  <si>
    <t>ojo  checar para elaborar el presupuesto la publicacion 2014</t>
  </si>
  <si>
    <t>MUNICIPIOS</t>
  </si>
  <si>
    <t>PARTICIPACION 2017</t>
  </si>
  <si>
    <t>INCREMENTO</t>
  </si>
  <si>
    <t xml:space="preserve">MUNICIPIO </t>
  </si>
  <si>
    <t>DISTRIBUCIÓN A MUNICIPIOS POR PARTICIPACION FEDERAL DEL FONDO DE COMPENSACION EJERCICIO 2014</t>
  </si>
  <si>
    <t>FACTOR DE DISTRIB. 2020</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</si>
  <si>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</si>
  <si>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</si>
  <si>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</si>
  <si>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</si>
  <si>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 xml:space="preserve">FACTOR DE DISTRIB. 2020  </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</si>
  <si>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</si>
  <si>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</si>
  <si>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</si>
  <si>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</si>
  <si>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</si>
  <si>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</si>
  <si>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</si>
  <si>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</si>
  <si>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</si>
  <si>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Calendarización del Calculo de distribución  de la estimación  del Fondo General de Participaciones de 2020</t>
  </si>
  <si>
    <t>Calendarización del Calculo de distribución de la estimación del Fondo de Compensación a los Municipios de 2020</t>
  </si>
  <si>
    <t>Calendarización del Calculo de distribución  de la estimación del Fondo de Fomento Municipal de 2020</t>
  </si>
  <si>
    <t>Calendarización del Calculo de distribución  de la estimación del Impuesto Especial Sobre Producción y Servicios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</si>
  <si>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</si>
  <si>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</si>
  <si>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Calendarización del Calculo de distribución de la estimación del Fondo de Compensación del  Impuesto Sobre Automóviles Nuevos de 2020</t>
  </si>
  <si>
    <t>Calendarizacion del Calculo de distribución de la estimación de los Incentivos por el Impuesto Sobre Automóviles Nuevos de 2020</t>
  </si>
  <si>
    <t xml:space="preserve">COEFICIENTE </t>
  </si>
  <si>
    <t>EFECTIVO</t>
  </si>
  <si>
    <t>Impuesto Especial Sobre Producción y Servicios</t>
  </si>
  <si>
    <t>Nuevas Potestades (Gasolinas y Diesel)</t>
  </si>
  <si>
    <t>Fondo de Compensación (FOCO)</t>
  </si>
  <si>
    <t>Incentivos por el Impuesto Sobre Automóviles Nuevos</t>
  </si>
  <si>
    <t>Fondo de Compensación del Impuesto Sobre Automóviles Nuevos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</si>
</sst>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quot;$&quot;#,##0.00"/>
    <numFmt numFmtId="41" formatCode="_-* #,##0_-;\-* #,##0_-;_-* &quot;-&quot;_-;_-@_-"/>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_-&quot;$&quot;* #,##0.000_-;\-&quot;$&quot;* #,##0.000_-;_-&quot;$&quot;* &quot;-&quot;???_-;_-@_-"/>
    <numFmt numFmtId="174" formatCode="#,##0.00000_ ;\-#,##0.00000\ "/>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11"/>
      <color theme="1"/>
      <name val="Calibri"/>
      <family val="2"/>
      <scheme val="minor"/>
    </font>
    <font>
      <b/>
      <i/>
      <sz val="9"/>
      <color theme="1"/>
      <name val="Arial"/>
      <family val="2"/>
    </font>
    <font>
      <i/>
      <sz val="9"/>
      <color theme="3"/>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5">
    <xf numFmtId="0" fontId="0" fillId="0" borderId="0"/>
    <xf numFmtId="44" fontId="1" fillId="0" borderId="0" applyFont="0" applyFill="0" applyBorder="0" applyAlignment="0" applyProtection="0"/>
    <xf numFmtId="0" fontId="27" fillId="0" borderId="0"/>
    <xf numFmtId="0" fontId="27" fillId="0" borderId="0"/>
    <xf numFmtId="0" fontId="27" fillId="0" borderId="0"/>
  </cellStyleXfs>
  <cellXfs count="1028">
    <xf numFmtId="0" fontId="0" fillId="0" borderId="0" xfId="0"/>
    <xf numFmtId="0" fontId="3" fillId="0" borderId="0" xfId="0" applyFont="1" applyBorder="1" applyAlignment="1"/>
    <xf numFmtId="0" fontId="4" fillId="0" borderId="0" xfId="0" applyFont="1" applyBorder="1" applyAlignment="1">
      <alignment vertical="center"/>
    </xf>
    <xf numFmtId="0" fontId="4" fillId="0" borderId="0" xfId="0" applyFont="1" applyBorder="1" applyAlignment="1">
      <alignment vertical="distributed"/>
    </xf>
    <xf numFmtId="0" fontId="4" fillId="0" borderId="0" xfId="0" applyFont="1" applyBorder="1"/>
    <xf numFmtId="49" fontId="4" fillId="0" borderId="7" xfId="0" applyNumberFormat="1" applyFont="1" applyFill="1" applyBorder="1" applyAlignment="1">
      <alignment horizontal="right"/>
    </xf>
    <xf numFmtId="0" fontId="0" fillId="0" borderId="0" xfId="0" applyFill="1"/>
    <xf numFmtId="49" fontId="4" fillId="0" borderId="0" xfId="0" applyNumberFormat="1" applyFont="1" applyBorder="1" applyAlignment="1">
      <alignment horizontal="right"/>
    </xf>
    <xf numFmtId="49" fontId="4" fillId="0" borderId="9" xfId="0" applyNumberFormat="1" applyFont="1" applyFill="1" applyBorder="1" applyAlignment="1">
      <alignment horizontal="right"/>
    </xf>
    <xf numFmtId="49" fontId="4" fillId="0" borderId="12" xfId="0" applyNumberFormat="1" applyFont="1" applyFill="1" applyBorder="1" applyAlignment="1">
      <alignment horizontal="right"/>
    </xf>
    <xf numFmtId="49" fontId="4" fillId="0" borderId="0" xfId="0" applyNumberFormat="1" applyFont="1" applyBorder="1"/>
    <xf numFmtId="0" fontId="5" fillId="0" borderId="0" xfId="0" applyFont="1"/>
    <xf numFmtId="0" fontId="0" fillId="0" borderId="0" xfId="0" applyAlignment="1">
      <alignment horizontal="center"/>
    </xf>
    <xf numFmtId="0" fontId="6" fillId="0" borderId="0" xfId="0" applyFont="1" applyAlignment="1">
      <alignment horizontal="center"/>
    </xf>
    <xf numFmtId="0" fontId="7" fillId="0" borderId="0" xfId="0" applyFont="1"/>
    <xf numFmtId="0" fontId="6" fillId="0" borderId="0" xfId="0" applyFont="1" applyAlignment="1">
      <alignment horizontal="center"/>
    </xf>
    <xf numFmtId="0" fontId="6"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6" fillId="0" borderId="4" xfId="0" applyNumberFormat="1" applyFont="1" applyBorder="1" applyAlignment="1">
      <alignment horizontal="center"/>
    </xf>
    <xf numFmtId="0" fontId="6" fillId="0" borderId="4" xfId="0" applyFont="1" applyBorder="1" applyAlignment="1">
      <alignment horizontal="center"/>
    </xf>
    <xf numFmtId="0" fontId="6" fillId="2" borderId="4" xfId="0" applyFont="1" applyFill="1" applyBorder="1" applyAlignment="1">
      <alignment horizontal="center"/>
    </xf>
    <xf numFmtId="4" fontId="6" fillId="0" borderId="4" xfId="0" applyNumberFormat="1" applyFont="1" applyBorder="1" applyAlignment="1">
      <alignment horizontal="center" vertical="center" wrapText="1"/>
    </xf>
    <xf numFmtId="0" fontId="6" fillId="0" borderId="1" xfId="0" applyFont="1" applyBorder="1" applyAlignment="1">
      <alignment horizontal="center"/>
    </xf>
    <xf numFmtId="0" fontId="6" fillId="0" borderId="8" xfId="0" applyFont="1" applyBorder="1" applyAlignment="1">
      <alignment horizontal="center"/>
    </xf>
    <xf numFmtId="0" fontId="0" fillId="0" borderId="4" xfId="0" applyBorder="1" applyAlignment="1">
      <alignment horizontal="center" vertical="center" wrapText="1"/>
    </xf>
    <xf numFmtId="49" fontId="6" fillId="0" borderId="32" xfId="0" applyNumberFormat="1" applyFont="1" applyBorder="1" applyAlignment="1">
      <alignment horizontal="center"/>
    </xf>
    <xf numFmtId="0" fontId="6" fillId="0" borderId="32" xfId="0" applyFont="1" applyBorder="1" applyAlignment="1">
      <alignment horizontal="center"/>
    </xf>
    <xf numFmtId="9" fontId="6" fillId="0" borderId="32" xfId="0" applyNumberFormat="1" applyFont="1" applyBorder="1" applyAlignment="1">
      <alignment horizontal="center"/>
    </xf>
    <xf numFmtId="9" fontId="6" fillId="2" borderId="32" xfId="0" applyNumberFormat="1" applyFont="1" applyFill="1" applyBorder="1" applyAlignment="1">
      <alignment horizontal="center"/>
    </xf>
    <xf numFmtId="0" fontId="0" fillId="0" borderId="32" xfId="0" applyBorder="1" applyAlignment="1">
      <alignment horizontal="center" vertical="center" wrapText="1"/>
    </xf>
    <xf numFmtId="0" fontId="6" fillId="0" borderId="33" xfId="0" applyFont="1" applyBorder="1" applyAlignment="1">
      <alignment horizontal="center"/>
    </xf>
    <xf numFmtId="0" fontId="5" fillId="0" borderId="41" xfId="0" applyFont="1" applyBorder="1"/>
    <xf numFmtId="164" fontId="5" fillId="0" borderId="12" xfId="1" applyNumberFormat="1" applyFont="1" applyBorder="1" applyAlignment="1">
      <alignment horizontal="center"/>
    </xf>
    <xf numFmtId="165" fontId="5" fillId="2" borderId="10" xfId="1" applyNumberFormat="1" applyFont="1" applyFill="1" applyBorder="1"/>
    <xf numFmtId="166" fontId="5" fillId="0" borderId="10" xfId="0" applyNumberFormat="1" applyFont="1" applyBorder="1"/>
    <xf numFmtId="3" fontId="5" fillId="0" borderId="10" xfId="0" applyNumberFormat="1" applyFont="1" applyBorder="1"/>
    <xf numFmtId="167" fontId="5" fillId="0" borderId="10" xfId="0" applyNumberFormat="1" applyFont="1" applyBorder="1"/>
    <xf numFmtId="165" fontId="5" fillId="2" borderId="10" xfId="0" applyNumberFormat="1" applyFont="1" applyFill="1" applyBorder="1" applyAlignment="1">
      <alignment horizontal="right"/>
    </xf>
    <xf numFmtId="165" fontId="5" fillId="0" borderId="10" xfId="0" applyNumberFormat="1" applyFont="1" applyBorder="1"/>
    <xf numFmtId="3" fontId="5" fillId="0" borderId="42" xfId="0" applyNumberFormat="1" applyFont="1" applyBorder="1"/>
    <xf numFmtId="3" fontId="7" fillId="0" borderId="44" xfId="0" applyNumberFormat="1" applyFont="1" applyBorder="1" applyAlignment="1"/>
    <xf numFmtId="167" fontId="7" fillId="0" borderId="43" xfId="0" applyNumberFormat="1" applyFont="1" applyBorder="1" applyAlignment="1"/>
    <xf numFmtId="0" fontId="0" fillId="0" borderId="0" xfId="0" applyAlignment="1"/>
    <xf numFmtId="0" fontId="5" fillId="0" borderId="45" xfId="0" applyFont="1" applyBorder="1"/>
    <xf numFmtId="164" fontId="5" fillId="0" borderId="3" xfId="1" applyNumberFormat="1" applyFont="1" applyBorder="1" applyAlignment="1">
      <alignment horizontal="center"/>
    </xf>
    <xf numFmtId="165" fontId="5" fillId="2" borderId="4" xfId="1" applyNumberFormat="1" applyFont="1" applyFill="1" applyBorder="1"/>
    <xf numFmtId="166" fontId="5" fillId="0" borderId="4" xfId="0" applyNumberFormat="1" applyFont="1" applyBorder="1"/>
    <xf numFmtId="3" fontId="11" fillId="0" borderId="4" xfId="0" applyNumberFormat="1" applyFont="1" applyBorder="1" applyAlignment="1">
      <alignment horizontal="right" vertical="center" wrapText="1"/>
    </xf>
    <xf numFmtId="167" fontId="5" fillId="0" borderId="4" xfId="0" applyNumberFormat="1" applyFont="1" applyBorder="1"/>
    <xf numFmtId="165" fontId="5" fillId="2" borderId="4" xfId="0" applyNumberFormat="1" applyFont="1" applyFill="1" applyBorder="1" applyAlignment="1">
      <alignment horizontal="right"/>
    </xf>
    <xf numFmtId="3" fontId="5" fillId="0" borderId="4" xfId="0" applyNumberFormat="1" applyFont="1" applyBorder="1"/>
    <xf numFmtId="165" fontId="5" fillId="0" borderId="4" xfId="0" applyNumberFormat="1" applyFont="1" applyBorder="1"/>
    <xf numFmtId="3" fontId="5" fillId="0" borderId="1" xfId="0" applyNumberFormat="1" applyFont="1" applyBorder="1"/>
    <xf numFmtId="0" fontId="5" fillId="0" borderId="48" xfId="0" applyFont="1" applyBorder="1"/>
    <xf numFmtId="164" fontId="5" fillId="0" borderId="7" xfId="1" applyNumberFormat="1" applyFont="1" applyBorder="1" applyAlignment="1">
      <alignment horizontal="center"/>
    </xf>
    <xf numFmtId="165" fontId="5" fillId="2" borderId="5" xfId="1" applyNumberFormat="1" applyFont="1" applyFill="1" applyBorder="1"/>
    <xf numFmtId="166" fontId="5" fillId="0" borderId="5" xfId="0" applyNumberFormat="1" applyFont="1" applyBorder="1"/>
    <xf numFmtId="3" fontId="5" fillId="0" borderId="5" xfId="0" applyNumberFormat="1" applyFont="1" applyBorder="1"/>
    <xf numFmtId="167" fontId="5" fillId="0" borderId="5" xfId="0" applyNumberFormat="1" applyFont="1" applyBorder="1"/>
    <xf numFmtId="165" fontId="5" fillId="2" borderId="5" xfId="0" applyNumberFormat="1" applyFont="1" applyFill="1" applyBorder="1" applyAlignment="1">
      <alignment horizontal="right"/>
    </xf>
    <xf numFmtId="165" fontId="5" fillId="0" borderId="5" xfId="0" applyNumberFormat="1" applyFont="1" applyBorder="1"/>
    <xf numFmtId="3" fontId="5" fillId="0" borderId="26" xfId="0" applyNumberFormat="1" applyFont="1" applyBorder="1"/>
    <xf numFmtId="0" fontId="6" fillId="0" borderId="49" xfId="0" applyFont="1" applyBorder="1"/>
    <xf numFmtId="164" fontId="6" fillId="0" borderId="50" xfId="1" applyNumberFormat="1" applyFont="1" applyBorder="1" applyAlignment="1">
      <alignment horizontal="center"/>
    </xf>
    <xf numFmtId="165" fontId="6" fillId="2" borderId="51" xfId="1" applyNumberFormat="1" applyFont="1" applyFill="1" applyBorder="1"/>
    <xf numFmtId="2" fontId="6" fillId="0" borderId="51" xfId="0" applyNumberFormat="1" applyFont="1" applyBorder="1"/>
    <xf numFmtId="3" fontId="6" fillId="0" borderId="51" xfId="0" applyNumberFormat="1" applyFont="1" applyBorder="1"/>
    <xf numFmtId="4" fontId="6" fillId="0" borderId="51" xfId="0" applyNumberFormat="1" applyFont="1" applyBorder="1"/>
    <xf numFmtId="165" fontId="6" fillId="2" borderId="51" xfId="0" applyNumberFormat="1" applyFont="1" applyFill="1" applyBorder="1" applyAlignment="1">
      <alignment horizontal="right"/>
    </xf>
    <xf numFmtId="166" fontId="5" fillId="0" borderId="51" xfId="0" applyNumberFormat="1" applyFont="1" applyBorder="1"/>
    <xf numFmtId="4" fontId="5" fillId="0" borderId="51" xfId="0" applyNumberFormat="1" applyFont="1" applyBorder="1"/>
    <xf numFmtId="3" fontId="5" fillId="0" borderId="51" xfId="0" applyNumberFormat="1" applyFont="1" applyBorder="1"/>
    <xf numFmtId="165" fontId="5" fillId="0" borderId="51" xfId="0" applyNumberFormat="1" applyFont="1" applyBorder="1"/>
    <xf numFmtId="3" fontId="5" fillId="0" borderId="52" xfId="0" applyNumberFormat="1" applyFont="1" applyBorder="1"/>
    <xf numFmtId="3" fontId="7" fillId="0" borderId="54" xfId="0" applyNumberFormat="1" applyFont="1" applyBorder="1"/>
    <xf numFmtId="167" fontId="7" fillId="0" borderId="53" xfId="0" applyNumberFormat="1" applyFont="1" applyBorder="1"/>
    <xf numFmtId="0" fontId="5" fillId="0" borderId="0" xfId="0" applyFont="1" applyAlignment="1"/>
    <xf numFmtId="0" fontId="5" fillId="0" borderId="0" xfId="0" applyFont="1" applyAlignment="1">
      <alignment horizontal="center"/>
    </xf>
    <xf numFmtId="165" fontId="0" fillId="0" borderId="0" xfId="0" applyNumberFormat="1"/>
    <xf numFmtId="166" fontId="0" fillId="0" borderId="0" xfId="0" applyNumberFormat="1"/>
    <xf numFmtId="0" fontId="4" fillId="0" borderId="60" xfId="0" applyFont="1" applyFill="1" applyBorder="1"/>
    <xf numFmtId="164" fontId="4" fillId="0" borderId="43" xfId="1" applyNumberFormat="1" applyFont="1" applyFill="1" applyBorder="1" applyAlignment="1">
      <alignment horizontal="center"/>
    </xf>
    <xf numFmtId="165" fontId="4" fillId="0" borderId="44" xfId="1" applyNumberFormat="1" applyFont="1" applyFill="1" applyBorder="1"/>
    <xf numFmtId="3" fontId="4" fillId="0" borderId="43" xfId="0" applyNumberFormat="1" applyFont="1" applyFill="1" applyBorder="1"/>
    <xf numFmtId="166" fontId="4" fillId="0" borderId="10" xfId="0" applyNumberFormat="1" applyFont="1" applyFill="1" applyBorder="1"/>
    <xf numFmtId="167" fontId="4" fillId="0" borderId="10" xfId="0" applyNumberFormat="1" applyFont="1" applyFill="1" applyBorder="1"/>
    <xf numFmtId="165" fontId="4" fillId="0" borderId="44" xfId="0" applyNumberFormat="1" applyFont="1" applyFill="1" applyBorder="1" applyAlignment="1">
      <alignment horizontal="right"/>
    </xf>
    <xf numFmtId="165" fontId="4" fillId="0" borderId="43" xfId="0" applyNumberFormat="1" applyFont="1" applyFill="1" applyBorder="1" applyAlignment="1">
      <alignment horizontal="right"/>
    </xf>
    <xf numFmtId="165" fontId="4" fillId="0" borderId="10" xfId="0" applyNumberFormat="1" applyFont="1" applyFill="1" applyBorder="1" applyAlignment="1">
      <alignment horizontal="right"/>
    </xf>
    <xf numFmtId="3" fontId="4" fillId="0" borderId="44" xfId="0" applyNumberFormat="1" applyFont="1" applyFill="1" applyBorder="1"/>
    <xf numFmtId="165" fontId="4" fillId="0" borderId="12" xfId="0" applyNumberFormat="1" applyFont="1" applyFill="1" applyBorder="1"/>
    <xf numFmtId="3" fontId="4" fillId="0" borderId="42" xfId="0" applyNumberFormat="1" applyFont="1" applyFill="1" applyBorder="1"/>
    <xf numFmtId="165" fontId="4"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4" fillId="0" borderId="46" xfId="1" applyNumberFormat="1" applyFont="1" applyFill="1" applyBorder="1" applyAlignment="1">
      <alignment horizontal="center"/>
    </xf>
    <xf numFmtId="166" fontId="4" fillId="0" borderId="4" xfId="0" applyNumberFormat="1" applyFont="1" applyFill="1" applyBorder="1"/>
    <xf numFmtId="165" fontId="4" fillId="0" borderId="3" xfId="0" applyNumberFormat="1" applyFont="1" applyFill="1" applyBorder="1"/>
    <xf numFmtId="0" fontId="4" fillId="0" borderId="62" xfId="0" applyFont="1" applyFill="1" applyBorder="1"/>
    <xf numFmtId="0" fontId="3" fillId="0" borderId="59" xfId="0" applyFont="1" applyFill="1" applyBorder="1"/>
    <xf numFmtId="0" fontId="5" fillId="0" borderId="0" xfId="0" applyFont="1" applyFill="1"/>
    <xf numFmtId="0" fontId="5" fillId="0" borderId="0" xfId="0" applyFont="1" applyFill="1" applyAlignment="1">
      <alignment horizontal="center"/>
    </xf>
    <xf numFmtId="0" fontId="5" fillId="0" borderId="0" xfId="0" applyFont="1" applyBorder="1" applyAlignment="1">
      <alignment horizontal="center" vertical="center"/>
    </xf>
    <xf numFmtId="0" fontId="2" fillId="0" borderId="0" xfId="0" applyFont="1"/>
    <xf numFmtId="0" fontId="6" fillId="0" borderId="5" xfId="0" applyFont="1" applyBorder="1" applyAlignment="1">
      <alignment horizontal="center"/>
    </xf>
    <xf numFmtId="0" fontId="6" fillId="0" borderId="17" xfId="0" applyFont="1" applyBorder="1" applyAlignment="1">
      <alignment wrapText="1"/>
    </xf>
    <xf numFmtId="0" fontId="6" fillId="0" borderId="0" xfId="0" applyFont="1" applyBorder="1" applyAlignment="1"/>
    <xf numFmtId="9" fontId="6" fillId="0" borderId="0" xfId="0" applyNumberFormat="1" applyFont="1" applyBorder="1" applyAlignment="1">
      <alignment horizontal="center"/>
    </xf>
    <xf numFmtId="49" fontId="6" fillId="0" borderId="59" xfId="0" applyNumberFormat="1" applyFont="1" applyBorder="1" applyAlignment="1">
      <alignment horizontal="center"/>
    </xf>
    <xf numFmtId="49" fontId="6" fillId="0" borderId="11" xfId="0" applyNumberFormat="1" applyFont="1" applyBorder="1" applyAlignment="1">
      <alignment horizontal="center"/>
    </xf>
    <xf numFmtId="49" fontId="6" fillId="0" borderId="22" xfId="0" applyNumberFormat="1" applyFont="1" applyBorder="1" applyAlignment="1">
      <alignment horizontal="center"/>
    </xf>
    <xf numFmtId="49" fontId="6" fillId="0" borderId="65" xfId="0" applyNumberFormat="1" applyFont="1" applyBorder="1" applyAlignment="1">
      <alignment horizontal="center"/>
    </xf>
    <xf numFmtId="49" fontId="5" fillId="0" borderId="39" xfId="0" applyNumberFormat="1" applyFont="1" applyBorder="1" applyAlignment="1">
      <alignment horizontal="center"/>
    </xf>
    <xf numFmtId="49" fontId="6" fillId="0" borderId="67" xfId="0" applyNumberFormat="1" applyFont="1" applyFill="1" applyBorder="1" applyAlignment="1">
      <alignment horizontal="center"/>
    </xf>
    <xf numFmtId="49" fontId="6" fillId="0" borderId="68" xfId="0" applyNumberFormat="1" applyFont="1" applyBorder="1" applyAlignment="1">
      <alignment horizontal="center"/>
    </xf>
    <xf numFmtId="0" fontId="6" fillId="0" borderId="64" xfId="0" applyFont="1" applyBorder="1" applyAlignment="1">
      <alignment horizontal="center" vertical="center"/>
    </xf>
    <xf numFmtId="0" fontId="5" fillId="0" borderId="57" xfId="0" applyFont="1" applyFill="1" applyBorder="1"/>
    <xf numFmtId="164" fontId="5" fillId="0" borderId="0" xfId="1" applyNumberFormat="1" applyFont="1" applyBorder="1" applyAlignment="1">
      <alignment horizontal="center"/>
    </xf>
    <xf numFmtId="3" fontId="5" fillId="0" borderId="57" xfId="0" applyNumberFormat="1" applyFont="1" applyBorder="1"/>
    <xf numFmtId="3" fontId="5" fillId="0" borderId="69" xfId="0" applyNumberFormat="1" applyFont="1" applyFill="1" applyBorder="1"/>
    <xf numFmtId="3" fontId="5" fillId="0" borderId="0" xfId="0" applyNumberFormat="1" applyFont="1" applyBorder="1"/>
    <xf numFmtId="167" fontId="0" fillId="0" borderId="0" xfId="0" applyNumberFormat="1"/>
    <xf numFmtId="4" fontId="0" fillId="0" borderId="0" xfId="0" applyNumberFormat="1"/>
    <xf numFmtId="167" fontId="2" fillId="0" borderId="0" xfId="0" applyNumberFormat="1" applyFont="1"/>
    <xf numFmtId="0" fontId="6" fillId="0" borderId="57" xfId="0" applyFont="1" applyFill="1" applyBorder="1"/>
    <xf numFmtId="164" fontId="6" fillId="0" borderId="0" xfId="1" applyNumberFormat="1" applyFont="1" applyFill="1" applyBorder="1" applyAlignment="1">
      <alignment horizontal="center"/>
    </xf>
    <xf numFmtId="3" fontId="6" fillId="0" borderId="0" xfId="0" applyNumberFormat="1" applyFont="1" applyFill="1" applyBorder="1"/>
    <xf numFmtId="3" fontId="6" fillId="0" borderId="57" xfId="0" applyNumberFormat="1" applyFont="1" applyBorder="1"/>
    <xf numFmtId="4" fontId="0" fillId="0" borderId="0" xfId="0" applyNumberFormat="1" applyFill="1"/>
    <xf numFmtId="0" fontId="2" fillId="0" borderId="0" xfId="0" applyFont="1" applyFill="1"/>
    <xf numFmtId="167" fontId="2" fillId="0" borderId="0" xfId="0" applyNumberFormat="1" applyFont="1" applyFill="1"/>
    <xf numFmtId="164" fontId="5" fillId="0" borderId="0" xfId="1" applyNumberFormat="1" applyFont="1" applyFill="1" applyBorder="1" applyAlignment="1">
      <alignment horizontal="center"/>
    </xf>
    <xf numFmtId="3" fontId="5" fillId="0" borderId="0" xfId="0" applyNumberFormat="1" applyFont="1" applyFill="1" applyBorder="1"/>
    <xf numFmtId="0" fontId="5" fillId="0" borderId="59" xfId="0" applyFont="1" applyFill="1" applyBorder="1"/>
    <xf numFmtId="3" fontId="6" fillId="0" borderId="51" xfId="0" applyNumberFormat="1" applyFont="1" applyFill="1" applyBorder="1"/>
    <xf numFmtId="4" fontId="5" fillId="0" borderId="0" xfId="0" applyNumberFormat="1" applyFont="1"/>
    <xf numFmtId="0" fontId="6" fillId="0" borderId="5" xfId="0" applyFont="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xf>
    <xf numFmtId="49" fontId="6" fillId="0" borderId="10" xfId="0" applyNumberFormat="1" applyFont="1" applyBorder="1" applyAlignment="1">
      <alignment horizontal="center"/>
    </xf>
    <xf numFmtId="0" fontId="5" fillId="0" borderId="26" xfId="0" applyFont="1" applyBorder="1"/>
    <xf numFmtId="164" fontId="5" fillId="0" borderId="6" xfId="1" applyNumberFormat="1" applyFont="1" applyBorder="1" applyAlignment="1">
      <alignment horizontal="center"/>
    </xf>
    <xf numFmtId="4" fontId="5" fillId="0" borderId="6" xfId="0" applyNumberFormat="1" applyFont="1" applyBorder="1"/>
    <xf numFmtId="0" fontId="5" fillId="0" borderId="69" xfId="0" applyFont="1" applyBorder="1"/>
    <xf numFmtId="4" fontId="5" fillId="0" borderId="0" xfId="0" applyNumberFormat="1" applyFont="1" applyBorder="1"/>
    <xf numFmtId="0" fontId="6" fillId="0" borderId="4" xfId="0" applyFont="1" applyBorder="1"/>
    <xf numFmtId="164" fontId="6" fillId="0" borderId="4" xfId="1" applyNumberFormat="1" applyFont="1" applyBorder="1" applyAlignment="1">
      <alignment horizontal="center"/>
    </xf>
    <xf numFmtId="0" fontId="6" fillId="0" borderId="0" xfId="0" applyFont="1" applyFill="1" applyBorder="1" applyAlignment="1">
      <alignment horizontal="center"/>
    </xf>
    <xf numFmtId="0" fontId="5" fillId="0" borderId="13" xfId="0" applyFont="1" applyBorder="1"/>
    <xf numFmtId="2" fontId="0" fillId="0" borderId="0" xfId="0" applyNumberFormat="1"/>
    <xf numFmtId="0" fontId="5" fillId="0" borderId="23" xfId="0" applyFont="1" applyBorder="1"/>
    <xf numFmtId="0" fontId="5" fillId="0" borderId="31" xfId="0" applyFont="1" applyBorder="1"/>
    <xf numFmtId="0" fontId="6" fillId="0" borderId="20" xfId="0" applyFont="1" applyBorder="1"/>
    <xf numFmtId="0" fontId="5" fillId="0" borderId="0" xfId="0" applyFont="1" applyBorder="1"/>
    <xf numFmtId="0" fontId="5" fillId="0" borderId="0" xfId="0" applyFont="1" applyBorder="1" applyAlignment="1">
      <alignment horizontal="center"/>
    </xf>
    <xf numFmtId="0" fontId="0" fillId="0" borderId="0" xfId="0" applyBorder="1"/>
    <xf numFmtId="49" fontId="12" fillId="3" borderId="57" xfId="0" applyNumberFormat="1" applyFont="1" applyFill="1" applyBorder="1" applyAlignment="1">
      <alignment horizontal="center"/>
    </xf>
    <xf numFmtId="0" fontId="0" fillId="3" borderId="0" xfId="0" applyFill="1"/>
    <xf numFmtId="167" fontId="0" fillId="3" borderId="0" xfId="0" applyNumberFormat="1" applyFill="1"/>
    <xf numFmtId="3" fontId="6" fillId="0" borderId="49" xfId="0" applyNumberFormat="1" applyFont="1" applyFill="1" applyBorder="1" applyAlignment="1"/>
    <xf numFmtId="0" fontId="5" fillId="0" borderId="0" xfId="0" applyFont="1" applyFill="1" applyBorder="1"/>
    <xf numFmtId="49" fontId="6" fillId="0" borderId="0" xfId="0" applyNumberFormat="1" applyFont="1" applyBorder="1" applyAlignment="1">
      <alignment horizontal="center"/>
    </xf>
    <xf numFmtId="166" fontId="5" fillId="0" borderId="0" xfId="0" applyNumberFormat="1" applyFont="1" applyBorder="1"/>
    <xf numFmtId="167" fontId="5" fillId="0" borderId="0" xfId="0" applyNumberFormat="1" applyFont="1" applyBorder="1"/>
    <xf numFmtId="0" fontId="5" fillId="0" borderId="0" xfId="0" applyFont="1" applyFill="1" applyBorder="1" applyAlignment="1">
      <alignment horizontal="center"/>
    </xf>
    <xf numFmtId="44" fontId="6" fillId="0" borderId="0" xfId="0" applyNumberFormat="1" applyFont="1" applyFill="1" applyBorder="1" applyAlignment="1">
      <alignment horizontal="center"/>
    </xf>
    <xf numFmtId="2" fontId="0" fillId="0" borderId="0" xfId="0" applyNumberFormat="1" applyBorder="1"/>
    <xf numFmtId="3" fontId="6" fillId="0" borderId="0" xfId="0" applyNumberFormat="1" applyFont="1" applyBorder="1"/>
    <xf numFmtId="167" fontId="6" fillId="0" borderId="0" xfId="0" applyNumberFormat="1" applyFont="1" applyBorder="1"/>
    <xf numFmtId="4" fontId="5" fillId="0" borderId="0" xfId="0" applyNumberFormat="1" applyFont="1" applyAlignment="1"/>
    <xf numFmtId="44" fontId="5" fillId="0" borderId="0" xfId="0" applyNumberFormat="1" applyFont="1"/>
    <xf numFmtId="3" fontId="5" fillId="0" borderId="8" xfId="0" applyNumberFormat="1" applyFont="1" applyFill="1" applyBorder="1"/>
    <xf numFmtId="0" fontId="3" fillId="0" borderId="37" xfId="0" applyFont="1" applyFill="1" applyBorder="1" applyAlignment="1">
      <alignment horizontal="center"/>
    </xf>
    <xf numFmtId="0" fontId="3" fillId="0" borderId="36" xfId="0" applyFont="1" applyFill="1" applyBorder="1" applyAlignment="1">
      <alignment horizontal="center"/>
    </xf>
    <xf numFmtId="167" fontId="10" fillId="0" borderId="43" xfId="0" applyNumberFormat="1" applyFont="1" applyFill="1" applyBorder="1"/>
    <xf numFmtId="165" fontId="10" fillId="0" borderId="44" xfId="0" applyNumberFormat="1" applyFont="1" applyFill="1" applyBorder="1"/>
    <xf numFmtId="168" fontId="10" fillId="0" borderId="43" xfId="0" applyNumberFormat="1" applyFont="1" applyFill="1" applyBorder="1"/>
    <xf numFmtId="168" fontId="10" fillId="0" borderId="10" xfId="0" applyNumberFormat="1" applyFont="1" applyFill="1" applyBorder="1"/>
    <xf numFmtId="3" fontId="7" fillId="0" borderId="44" xfId="0" applyNumberFormat="1" applyFont="1" applyFill="1" applyBorder="1" applyAlignment="1"/>
    <xf numFmtId="167" fontId="10" fillId="0" borderId="53" xfId="0" applyNumberFormat="1" applyFont="1" applyFill="1" applyBorder="1"/>
    <xf numFmtId="165" fontId="10" fillId="0" borderId="54" xfId="0" applyNumberFormat="1" applyFont="1" applyFill="1" applyBorder="1"/>
    <xf numFmtId="168" fontId="10" fillId="0" borderId="53" xfId="0" applyNumberFormat="1" applyFont="1" applyFill="1" applyBorder="1"/>
    <xf numFmtId="3" fontId="7" fillId="0" borderId="54" xfId="0" applyNumberFormat="1" applyFont="1" applyFill="1" applyBorder="1"/>
    <xf numFmtId="167" fontId="7" fillId="0" borderId="50" xfId="0" applyNumberFormat="1" applyFont="1" applyFill="1" applyBorder="1"/>
    <xf numFmtId="3" fontId="7" fillId="0" borderId="51" xfId="0" applyNumberFormat="1" applyFont="1" applyFill="1" applyBorder="1"/>
    <xf numFmtId="167" fontId="7" fillId="0" borderId="51" xfId="0" applyNumberFormat="1" applyFont="1" applyFill="1" applyBorder="1"/>
    <xf numFmtId="0" fontId="6" fillId="0" borderId="23" xfId="0" applyFont="1" applyBorder="1" applyAlignment="1"/>
    <xf numFmtId="0" fontId="6" fillId="0" borderId="0" xfId="0" applyFont="1" applyAlignment="1">
      <alignment horizontal="center"/>
    </xf>
    <xf numFmtId="0" fontId="6" fillId="0" borderId="0" xfId="0" applyFont="1" applyBorder="1" applyAlignment="1">
      <alignment horizontal="center"/>
    </xf>
    <xf numFmtId="0" fontId="6" fillId="0" borderId="32" xfId="0" applyFont="1" applyFill="1" applyBorder="1" applyAlignment="1">
      <alignment horizontal="center"/>
    </xf>
    <xf numFmtId="3" fontId="5" fillId="0" borderId="36" xfId="0" applyNumberFormat="1" applyFont="1" applyFill="1" applyBorder="1"/>
    <xf numFmtId="3" fontId="5" fillId="0" borderId="37" xfId="0" applyNumberFormat="1" applyFont="1" applyFill="1" applyBorder="1"/>
    <xf numFmtId="0" fontId="5" fillId="0" borderId="31" xfId="0" applyFont="1" applyFill="1" applyBorder="1"/>
    <xf numFmtId="0" fontId="6" fillId="0" borderId="63" xfId="0" applyFont="1" applyFill="1" applyBorder="1" applyAlignment="1">
      <alignment horizontal="center"/>
    </xf>
    <xf numFmtId="3" fontId="5" fillId="0" borderId="34" xfId="0" applyNumberFormat="1" applyFont="1" applyFill="1" applyBorder="1"/>
    <xf numFmtId="3" fontId="5" fillId="0" borderId="38" xfId="0" applyNumberFormat="1" applyFont="1" applyFill="1" applyBorder="1"/>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9" fontId="6"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166" fontId="5" fillId="0" borderId="0" xfId="0" applyNumberFormat="1" applyFont="1"/>
    <xf numFmtId="167" fontId="5" fillId="0" borderId="6" xfId="0" applyNumberFormat="1" applyFont="1" applyBorder="1"/>
    <xf numFmtId="44" fontId="5" fillId="0" borderId="8" xfId="1" applyFont="1" applyBorder="1"/>
    <xf numFmtId="164" fontId="5" fillId="0" borderId="0" xfId="1" applyNumberFormat="1" applyFont="1" applyBorder="1"/>
    <xf numFmtId="167" fontId="5" fillId="0" borderId="9" xfId="0" applyNumberFormat="1" applyFont="1" applyBorder="1"/>
    <xf numFmtId="3" fontId="11" fillId="0" borderId="0" xfId="0" applyNumberFormat="1" applyFont="1" applyBorder="1" applyAlignment="1">
      <alignment horizontal="right" vertical="center" wrapText="1"/>
    </xf>
    <xf numFmtId="3" fontId="5" fillId="0" borderId="54" xfId="0" applyNumberFormat="1" applyFont="1" applyBorder="1"/>
    <xf numFmtId="4" fontId="5" fillId="0" borderId="3" xfId="0" applyNumberFormat="1" applyFont="1" applyBorder="1"/>
    <xf numFmtId="4" fontId="5" fillId="0" borderId="4" xfId="0" applyNumberFormat="1" applyFont="1" applyBorder="1"/>
    <xf numFmtId="44" fontId="5" fillId="0" borderId="4" xfId="1" applyFont="1" applyBorder="1"/>
    <xf numFmtId="44" fontId="6" fillId="0" borderId="0" xfId="1" applyFont="1" applyBorder="1"/>
    <xf numFmtId="170" fontId="6" fillId="0" borderId="0" xfId="0" applyNumberFormat="1" applyFont="1" applyBorder="1"/>
    <xf numFmtId="167" fontId="5" fillId="0" borderId="51" xfId="0" applyNumberFormat="1" applyFont="1" applyBorder="1" applyAlignment="1">
      <alignment horizontal="right"/>
    </xf>
    <xf numFmtId="167" fontId="5" fillId="0" borderId="51" xfId="0" applyNumberFormat="1" applyFont="1" applyBorder="1"/>
    <xf numFmtId="0" fontId="6" fillId="0" borderId="0" xfId="0" applyFont="1" applyAlignment="1">
      <alignment horizontal="center"/>
    </xf>
    <xf numFmtId="3" fontId="0" fillId="0" borderId="0" xfId="0" applyNumberFormat="1"/>
    <xf numFmtId="0" fontId="6" fillId="0" borderId="0" xfId="0" applyFont="1" applyAlignment="1">
      <alignment horizontal="center"/>
    </xf>
    <xf numFmtId="0" fontId="6" fillId="0" borderId="4" xfId="0" applyFont="1" applyBorder="1" applyAlignment="1">
      <alignment horizontal="center"/>
    </xf>
    <xf numFmtId="0" fontId="5" fillId="0" borderId="0" xfId="0" applyFont="1" applyAlignment="1">
      <alignment horizontal="center" vertical="center"/>
    </xf>
    <xf numFmtId="166" fontId="6" fillId="0" borderId="33" xfId="0" applyNumberFormat="1" applyFont="1" applyBorder="1" applyAlignment="1">
      <alignment horizontal="center"/>
    </xf>
    <xf numFmtId="166" fontId="6" fillId="0" borderId="68" xfId="0" applyNumberFormat="1" applyFont="1" applyBorder="1" applyAlignment="1">
      <alignment horizontal="center"/>
    </xf>
    <xf numFmtId="0" fontId="6" fillId="0" borderId="35" xfId="0" applyFont="1" applyBorder="1" applyAlignment="1">
      <alignment horizontal="center"/>
    </xf>
    <xf numFmtId="0" fontId="5" fillId="0" borderId="55" xfId="0" applyFont="1" applyBorder="1" applyAlignment="1">
      <alignment horizontal="center" vertical="center"/>
    </xf>
    <xf numFmtId="44" fontId="5" fillId="0" borderId="14" xfId="1" applyFont="1" applyBorder="1"/>
    <xf numFmtId="166" fontId="5" fillId="0" borderId="14" xfId="0" applyNumberFormat="1" applyFont="1" applyBorder="1"/>
    <xf numFmtId="3" fontId="21" fillId="0" borderId="14" xfId="0" applyNumberFormat="1" applyFont="1" applyBorder="1" applyAlignment="1">
      <alignment horizontal="right" vertical="center" wrapText="1"/>
    </xf>
    <xf numFmtId="0" fontId="0" fillId="0" borderId="58" xfId="0" applyBorder="1"/>
    <xf numFmtId="166" fontId="5" fillId="0" borderId="13" xfId="0" applyNumberFormat="1" applyFont="1" applyBorder="1" applyAlignment="1">
      <alignment horizontal="center"/>
    </xf>
    <xf numFmtId="166" fontId="5" fillId="0" borderId="14" xfId="0" applyNumberFormat="1" applyFont="1" applyBorder="1" applyAlignment="1">
      <alignment horizontal="center"/>
    </xf>
    <xf numFmtId="0" fontId="5" fillId="0" borderId="57" xfId="0" applyFont="1" applyBorder="1" applyAlignment="1">
      <alignment horizontal="center" vertical="center"/>
    </xf>
    <xf numFmtId="166" fontId="5" fillId="0" borderId="23" xfId="0" applyNumberFormat="1" applyFont="1" applyFill="1" applyBorder="1" applyAlignment="1">
      <alignment horizontal="center"/>
    </xf>
    <xf numFmtId="166" fontId="5" fillId="0" borderId="0" xfId="0" applyNumberFormat="1" applyFont="1" applyFill="1" applyBorder="1" applyAlignment="1">
      <alignment horizontal="center"/>
    </xf>
    <xf numFmtId="0" fontId="0" fillId="0" borderId="30" xfId="0" applyFill="1" applyBorder="1"/>
    <xf numFmtId="4" fontId="5" fillId="0" borderId="30" xfId="0" applyNumberFormat="1" applyFont="1" applyFill="1" applyBorder="1" applyAlignment="1">
      <alignment horizontal="right"/>
    </xf>
    <xf numFmtId="0" fontId="5" fillId="0" borderId="0" xfId="0" applyFont="1" applyFill="1" applyBorder="1" applyAlignment="1">
      <alignment horizontal="left"/>
    </xf>
    <xf numFmtId="0" fontId="5" fillId="0" borderId="0" xfId="0" applyFont="1" applyBorder="1" applyAlignment="1">
      <alignment horizontal="left"/>
    </xf>
    <xf numFmtId="0" fontId="5" fillId="0" borderId="23" xfId="0" applyFont="1" applyFill="1" applyBorder="1" applyAlignment="1">
      <alignment horizontal="left"/>
    </xf>
    <xf numFmtId="0" fontId="5" fillId="0" borderId="30" xfId="0" applyFont="1" applyFill="1" applyBorder="1" applyAlignment="1">
      <alignment horizontal="left"/>
    </xf>
    <xf numFmtId="0" fontId="5" fillId="0" borderId="23" xfId="0" applyFont="1" applyFill="1" applyBorder="1" applyAlignment="1">
      <alignment horizontal="right"/>
    </xf>
    <xf numFmtId="0" fontId="5" fillId="0" borderId="0" xfId="0" applyFont="1" applyFill="1" applyBorder="1" applyAlignment="1">
      <alignment horizontal="righ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0" fontId="5" fillId="0" borderId="59" xfId="0" applyFont="1" applyBorder="1" applyAlignment="1">
      <alignment horizontal="center" vertical="center"/>
    </xf>
    <xf numFmtId="4" fontId="15" fillId="0" borderId="0" xfId="0" applyNumberFormat="1" applyFont="1" applyFill="1" applyBorder="1" applyAlignment="1">
      <alignment horizontal="right"/>
    </xf>
    <xf numFmtId="4" fontId="18" fillId="0" borderId="0" xfId="0" applyNumberFormat="1" applyFont="1" applyBorder="1"/>
    <xf numFmtId="0" fontId="6" fillId="0" borderId="2" xfId="0" applyFont="1" applyBorder="1" applyAlignment="1">
      <alignment horizontal="center"/>
    </xf>
    <xf numFmtId="0" fontId="6" fillId="4" borderId="4" xfId="0" applyFont="1" applyFill="1" applyBorder="1" applyAlignment="1">
      <alignment horizontal="center"/>
    </xf>
    <xf numFmtId="3" fontId="22" fillId="0" borderId="4" xfId="0" applyNumberFormat="1" applyFont="1" applyBorder="1"/>
    <xf numFmtId="3" fontId="6" fillId="0" borderId="4" xfId="0" applyNumberFormat="1" applyFont="1" applyBorder="1"/>
    <xf numFmtId="169" fontId="6" fillId="0" borderId="4" xfId="0" applyNumberFormat="1" applyFont="1" applyBorder="1"/>
    <xf numFmtId="167" fontId="5" fillId="0" borderId="0" xfId="0" applyNumberFormat="1" applyFont="1" applyAlignment="1">
      <alignment horizontal="center"/>
    </xf>
    <xf numFmtId="3" fontId="6" fillId="4" borderId="4" xfId="0" applyNumberFormat="1" applyFont="1" applyFill="1" applyBorder="1"/>
    <xf numFmtId="4" fontId="5" fillId="0" borderId="0" xfId="0" applyNumberFormat="1" applyFont="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vertical="center"/>
    </xf>
    <xf numFmtId="4" fontId="5" fillId="0" borderId="30" xfId="0" applyNumberFormat="1" applyFont="1" applyFill="1" applyBorder="1" applyAlignment="1">
      <alignment horizontal="right"/>
    </xf>
    <xf numFmtId="0" fontId="4" fillId="0" borderId="5" xfId="0" applyFont="1" applyBorder="1"/>
    <xf numFmtId="49" fontId="4" fillId="0" borderId="7" xfId="0" applyNumberFormat="1" applyFont="1" applyBorder="1" applyAlignment="1">
      <alignment horizontal="right"/>
    </xf>
    <xf numFmtId="0" fontId="4" fillId="0" borderId="8" xfId="0" applyFont="1" applyBorder="1"/>
    <xf numFmtId="49" fontId="4" fillId="0" borderId="9" xfId="0" applyNumberFormat="1" applyFont="1" applyBorder="1" applyAlignment="1">
      <alignment horizontal="right"/>
    </xf>
    <xf numFmtId="0" fontId="4" fillId="0" borderId="10" xfId="0" applyFont="1" applyBorder="1"/>
    <xf numFmtId="49" fontId="4" fillId="0" borderId="12" xfId="0" applyNumberFormat="1" applyFont="1" applyBorder="1" applyAlignment="1">
      <alignment horizontal="right"/>
    </xf>
    <xf numFmtId="3" fontId="3" fillId="0" borderId="53" xfId="0" applyNumberFormat="1" applyFont="1" applyFill="1" applyBorder="1"/>
    <xf numFmtId="166" fontId="3" fillId="0" borderId="51" xfId="0" applyNumberFormat="1" applyFont="1" applyFill="1" applyBorder="1"/>
    <xf numFmtId="169" fontId="3" fillId="0" borderId="51" xfId="0" applyNumberFormat="1" applyFont="1" applyFill="1" applyBorder="1"/>
    <xf numFmtId="165" fontId="3" fillId="0" borderId="54" xfId="0" applyNumberFormat="1" applyFont="1" applyFill="1" applyBorder="1" applyAlignment="1">
      <alignment horizontal="right"/>
    </xf>
    <xf numFmtId="165" fontId="3" fillId="0" borderId="53" xfId="0" applyNumberFormat="1" applyFont="1" applyFill="1" applyBorder="1" applyAlignment="1">
      <alignment horizontal="right"/>
    </xf>
    <xf numFmtId="165" fontId="3" fillId="0" borderId="51" xfId="0" applyNumberFormat="1" applyFont="1" applyFill="1" applyBorder="1" applyAlignment="1">
      <alignment horizontal="right"/>
    </xf>
    <xf numFmtId="167" fontId="3" fillId="0" borderId="51" xfId="0" applyNumberFormat="1" applyFont="1" applyFill="1" applyBorder="1"/>
    <xf numFmtId="3" fontId="3" fillId="0" borderId="54" xfId="0" applyNumberFormat="1" applyFont="1" applyFill="1" applyBorder="1"/>
    <xf numFmtId="165" fontId="3" fillId="0" borderId="53" xfId="0" applyNumberFormat="1" applyFont="1" applyFill="1" applyBorder="1"/>
    <xf numFmtId="0" fontId="6" fillId="0" borderId="9" xfId="0" applyFont="1" applyBorder="1" applyAlignment="1">
      <alignment horizontal="center"/>
    </xf>
    <xf numFmtId="166" fontId="5" fillId="0" borderId="6" xfId="0" applyNumberFormat="1" applyFont="1" applyBorder="1"/>
    <xf numFmtId="165" fontId="5" fillId="0" borderId="0" xfId="1" applyNumberFormat="1" applyFont="1" applyBorder="1"/>
    <xf numFmtId="44" fontId="6" fillId="0" borderId="4" xfId="1" applyFont="1" applyBorder="1"/>
    <xf numFmtId="0" fontId="0" fillId="0" borderId="0" xfId="0"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xf>
    <xf numFmtId="168" fontId="5" fillId="0" borderId="6" xfId="1" applyNumberFormat="1" applyFont="1" applyBorder="1"/>
    <xf numFmtId="171" fontId="5" fillId="0" borderId="6" xfId="1" applyNumberFormat="1" applyFont="1" applyBorder="1"/>
    <xf numFmtId="167" fontId="5" fillId="0" borderId="6" xfId="0" applyNumberFormat="1" applyFont="1" applyBorder="1" applyAlignment="1">
      <alignment horizontal="center"/>
    </xf>
    <xf numFmtId="3" fontId="5" fillId="0" borderId="7" xfId="0" applyNumberFormat="1" applyFont="1" applyBorder="1" applyAlignment="1">
      <alignment horizontal="right"/>
    </xf>
    <xf numFmtId="4" fontId="5" fillId="0" borderId="69" xfId="0" applyNumberFormat="1" applyFont="1" applyBorder="1" applyAlignment="1">
      <alignment horizontal="center"/>
    </xf>
    <xf numFmtId="170" fontId="0" fillId="0" borderId="0" xfId="0" applyNumberFormat="1"/>
    <xf numFmtId="168" fontId="5" fillId="0" borderId="0" xfId="1" applyNumberFormat="1" applyFont="1" applyBorder="1"/>
    <xf numFmtId="171" fontId="5" fillId="0" borderId="0" xfId="1" applyNumberFormat="1" applyFont="1" applyBorder="1"/>
    <xf numFmtId="167" fontId="5" fillId="0" borderId="0" xfId="0" applyNumberFormat="1" applyFont="1" applyBorder="1" applyAlignment="1">
      <alignment horizontal="center"/>
    </xf>
    <xf numFmtId="3" fontId="5" fillId="0" borderId="9" xfId="0" applyNumberFormat="1" applyFont="1" applyBorder="1" applyAlignment="1">
      <alignment horizontal="right"/>
    </xf>
    <xf numFmtId="170" fontId="23" fillId="0" borderId="0" xfId="0" applyNumberFormat="1" applyFont="1"/>
    <xf numFmtId="167" fontId="5" fillId="0" borderId="11" xfId="0" applyNumberFormat="1" applyFont="1" applyBorder="1" applyAlignment="1">
      <alignment horizontal="center"/>
    </xf>
    <xf numFmtId="4" fontId="5" fillId="0" borderId="0" xfId="0" applyNumberFormat="1" applyFont="1" applyBorder="1" applyAlignment="1">
      <alignment horizontal="center"/>
    </xf>
    <xf numFmtId="168" fontId="6" fillId="0" borderId="2" xfId="1" applyNumberFormat="1" applyFont="1" applyBorder="1"/>
    <xf numFmtId="171" fontId="6" fillId="0" borderId="3" xfId="1" applyNumberFormat="1" applyFont="1" applyBorder="1"/>
    <xf numFmtId="4" fontId="6" fillId="0" borderId="4" xfId="0" applyNumberFormat="1" applyFont="1" applyBorder="1" applyAlignment="1">
      <alignment horizontal="center"/>
    </xf>
    <xf numFmtId="167" fontId="6" fillId="0" borderId="4" xfId="0" applyNumberFormat="1" applyFont="1" applyBorder="1" applyAlignment="1">
      <alignment horizontal="center"/>
    </xf>
    <xf numFmtId="3" fontId="6" fillId="0" borderId="4" xfId="0" applyNumberFormat="1" applyFont="1" applyBorder="1" applyAlignment="1">
      <alignment horizontal="right"/>
    </xf>
    <xf numFmtId="3" fontId="5" fillId="5" borderId="4" xfId="0" applyNumberFormat="1" applyFont="1" applyFill="1" applyBorder="1"/>
    <xf numFmtId="3" fontId="6" fillId="5" borderId="4" xfId="0" applyNumberFormat="1" applyFont="1" applyFill="1" applyBorder="1"/>
    <xf numFmtId="0" fontId="0" fillId="5" borderId="0" xfId="0" applyFill="1"/>
    <xf numFmtId="3" fontId="24" fillId="0" borderId="4" xfId="0" applyNumberFormat="1" applyFont="1" applyBorder="1"/>
    <xf numFmtId="0" fontId="6" fillId="0" borderId="72" xfId="0" applyFont="1" applyBorder="1" applyAlignment="1">
      <alignment horizontal="center"/>
    </xf>
    <xf numFmtId="0" fontId="6" fillId="2" borderId="72" xfId="0" applyFont="1" applyFill="1" applyBorder="1" applyAlignment="1">
      <alignment horizontal="center"/>
    </xf>
    <xf numFmtId="0" fontId="6" fillId="2" borderId="58" xfId="0" applyFont="1" applyFill="1" applyBorder="1" applyAlignment="1">
      <alignment horizontal="center"/>
    </xf>
    <xf numFmtId="0" fontId="6" fillId="2" borderId="9" xfId="0" applyFont="1" applyFill="1" applyBorder="1" applyAlignment="1">
      <alignment horizontal="center"/>
    </xf>
    <xf numFmtId="0" fontId="6" fillId="2" borderId="30" xfId="0" applyFont="1" applyFill="1" applyBorder="1" applyAlignment="1">
      <alignment horizontal="center"/>
    </xf>
    <xf numFmtId="170" fontId="5" fillId="0" borderId="0" xfId="0" applyNumberFormat="1" applyFont="1"/>
    <xf numFmtId="49" fontId="6" fillId="0" borderId="4" xfId="0" applyNumberFormat="1" applyFont="1" applyBorder="1" applyAlignment="1">
      <alignment horizontal="center"/>
    </xf>
    <xf numFmtId="49" fontId="6" fillId="0" borderId="12" xfId="0" applyNumberFormat="1" applyFont="1" applyBorder="1" applyAlignment="1">
      <alignment horizontal="center"/>
    </xf>
    <xf numFmtId="49" fontId="6" fillId="2" borderId="12" xfId="0" applyNumberFormat="1" applyFont="1" applyFill="1" applyBorder="1" applyAlignment="1">
      <alignment horizontal="center"/>
    </xf>
    <xf numFmtId="0" fontId="6" fillId="2" borderId="12" xfId="0" applyFont="1" applyFill="1" applyBorder="1" applyAlignment="1">
      <alignment horizontal="center"/>
    </xf>
    <xf numFmtId="0" fontId="6" fillId="2" borderId="78" xfId="0" applyFont="1" applyFill="1" applyBorder="1" applyAlignment="1">
      <alignment horizontal="center"/>
    </xf>
    <xf numFmtId="167" fontId="5" fillId="0" borderId="0" xfId="1" applyNumberFormat="1" applyFont="1" applyBorder="1"/>
    <xf numFmtId="4" fontId="5" fillId="2" borderId="0" xfId="0" applyNumberFormat="1" applyFont="1" applyFill="1" applyBorder="1"/>
    <xf numFmtId="3" fontId="5" fillId="2" borderId="0" xfId="0" applyNumberFormat="1" applyFont="1" applyFill="1" applyBorder="1"/>
    <xf numFmtId="166" fontId="5" fillId="2" borderId="0" xfId="0" applyNumberFormat="1" applyFont="1" applyFill="1" applyBorder="1"/>
    <xf numFmtId="3" fontId="5" fillId="2" borderId="27" xfId="0" applyNumberFormat="1" applyFont="1" applyFill="1" applyBorder="1"/>
    <xf numFmtId="170" fontId="25" fillId="0" borderId="0" xfId="0" applyNumberFormat="1" applyFont="1"/>
    <xf numFmtId="3" fontId="5" fillId="2" borderId="30" xfId="0" applyNumberFormat="1" applyFont="1" applyFill="1" applyBorder="1"/>
    <xf numFmtId="166" fontId="5" fillId="0" borderId="0" xfId="0" applyNumberFormat="1" applyFont="1" applyFill="1" applyBorder="1"/>
    <xf numFmtId="167" fontId="5" fillId="0" borderId="22" xfId="1" applyNumberFormat="1" applyFont="1" applyBorder="1"/>
    <xf numFmtId="165" fontId="5" fillId="0" borderId="22" xfId="1" applyNumberFormat="1" applyFont="1" applyBorder="1"/>
    <xf numFmtId="167" fontId="5" fillId="0" borderId="22" xfId="0" applyNumberFormat="1" applyFont="1" applyBorder="1"/>
    <xf numFmtId="3" fontId="5" fillId="0" borderId="22" xfId="0" applyNumberFormat="1" applyFont="1" applyBorder="1"/>
    <xf numFmtId="4" fontId="5" fillId="0" borderId="22" xfId="0" applyNumberFormat="1" applyFont="1" applyBorder="1"/>
    <xf numFmtId="166" fontId="5" fillId="0" borderId="22" xfId="0" applyNumberFormat="1" applyFont="1" applyBorder="1"/>
    <xf numFmtId="4" fontId="5" fillId="2" borderId="22" xfId="0" applyNumberFormat="1" applyFont="1" applyFill="1" applyBorder="1"/>
    <xf numFmtId="3" fontId="5" fillId="2" borderId="22" xfId="0" applyNumberFormat="1" applyFont="1" applyFill="1" applyBorder="1"/>
    <xf numFmtId="166" fontId="5" fillId="2" borderId="22" xfId="0" applyNumberFormat="1" applyFont="1" applyFill="1" applyBorder="1"/>
    <xf numFmtId="3" fontId="5" fillId="2" borderId="40" xfId="0" applyNumberFormat="1" applyFont="1" applyFill="1" applyBorder="1"/>
    <xf numFmtId="0" fontId="6" fillId="0" borderId="53" xfId="0" applyFont="1" applyBorder="1"/>
    <xf numFmtId="164" fontId="6" fillId="0" borderId="51" xfId="1" applyNumberFormat="1" applyFont="1" applyBorder="1"/>
    <xf numFmtId="165" fontId="6" fillId="0" borderId="51" xfId="1" applyNumberFormat="1" applyFont="1" applyBorder="1"/>
    <xf numFmtId="4" fontId="6" fillId="2" borderId="51" xfId="0" applyNumberFormat="1" applyFont="1" applyFill="1" applyBorder="1"/>
    <xf numFmtId="4" fontId="5" fillId="2" borderId="56" xfId="0" applyNumberFormat="1" applyFont="1" applyFill="1" applyBorder="1"/>
    <xf numFmtId="3" fontId="6" fillId="2" borderId="51" xfId="0" applyNumberFormat="1" applyFont="1" applyFill="1" applyBorder="1" applyAlignment="1">
      <alignment horizontal="right"/>
    </xf>
    <xf numFmtId="4" fontId="6" fillId="2" borderId="51" xfId="0" applyNumberFormat="1" applyFont="1" applyFill="1" applyBorder="1" applyAlignment="1">
      <alignment horizontal="right"/>
    </xf>
    <xf numFmtId="3" fontId="6" fillId="2" borderId="54" xfId="0" applyNumberFormat="1" applyFont="1" applyFill="1" applyBorder="1"/>
    <xf numFmtId="164" fontId="6" fillId="0" borderId="0" xfId="1" applyNumberFormat="1" applyFont="1" applyBorder="1" applyAlignment="1">
      <alignment horizontal="center"/>
    </xf>
    <xf numFmtId="7" fontId="5" fillId="0" borderId="0" xfId="0" applyNumberFormat="1" applyFont="1"/>
    <xf numFmtId="0" fontId="5" fillId="0" borderId="4" xfId="0" applyFont="1" applyBorder="1"/>
    <xf numFmtId="44" fontId="5" fillId="0" borderId="6" xfId="1" applyFont="1" applyBorder="1"/>
    <xf numFmtId="44" fontId="26" fillId="0" borderId="0" xfId="0" applyNumberFormat="1" applyFont="1"/>
    <xf numFmtId="44" fontId="5" fillId="0" borderId="0" xfId="1" applyFont="1" applyBorder="1"/>
    <xf numFmtId="44" fontId="25" fillId="0" borderId="0" xfId="0" applyNumberFormat="1" applyFont="1"/>
    <xf numFmtId="170" fontId="6" fillId="0" borderId="4" xfId="0" applyNumberFormat="1" applyFont="1" applyBorder="1"/>
    <xf numFmtId="44" fontId="6" fillId="0" borderId="4" xfId="0" applyNumberFormat="1" applyFont="1" applyBorder="1"/>
    <xf numFmtId="164" fontId="6" fillId="0" borderId="4" xfId="0" applyNumberFormat="1" applyFont="1" applyBorder="1"/>
    <xf numFmtId="164" fontId="6" fillId="0" borderId="0" xfId="0" applyNumberFormat="1" applyFont="1" applyBorder="1"/>
    <xf numFmtId="3" fontId="7" fillId="0" borderId="11" xfId="0" applyNumberFormat="1" applyFont="1" applyFill="1" applyBorder="1" applyAlignment="1"/>
    <xf numFmtId="3" fontId="5" fillId="0" borderId="12" xfId="0" applyNumberFormat="1" applyFont="1" applyBorder="1" applyAlignment="1">
      <alignment horizontal="right"/>
    </xf>
    <xf numFmtId="167" fontId="6" fillId="0" borderId="51" xfId="0" applyNumberFormat="1" applyFont="1" applyBorder="1"/>
    <xf numFmtId="172" fontId="6" fillId="0" borderId="51" xfId="0" applyNumberFormat="1" applyFont="1" applyBorder="1"/>
    <xf numFmtId="4" fontId="5" fillId="6" borderId="0" xfId="0" applyNumberFormat="1" applyFont="1" applyFill="1" applyBorder="1"/>
    <xf numFmtId="4" fontId="5" fillId="6" borderId="22" xfId="0" applyNumberFormat="1" applyFont="1" applyFill="1" applyBorder="1"/>
    <xf numFmtId="0" fontId="6" fillId="0" borderId="8"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28" xfId="0" applyFont="1" applyBorder="1" applyAlignment="1">
      <alignment horizontal="center" vertical="center" wrapText="1"/>
    </xf>
    <xf numFmtId="49" fontId="6" fillId="0" borderId="36" xfId="0" applyNumberFormat="1" applyFont="1" applyBorder="1" applyAlignment="1">
      <alignment horizontal="center"/>
    </xf>
    <xf numFmtId="165" fontId="0" fillId="0" borderId="0" xfId="0" applyNumberFormat="1" applyAlignment="1">
      <alignment horizontal="center"/>
    </xf>
    <xf numFmtId="49" fontId="14" fillId="0" borderId="59" xfId="0" applyNumberFormat="1" applyFont="1" applyFill="1" applyBorder="1" applyAlignment="1">
      <alignment horizontal="center" vertical="center" wrapText="1"/>
    </xf>
    <xf numFmtId="49" fontId="8" fillId="0" borderId="31" xfId="0" applyNumberFormat="1" applyFont="1" applyBorder="1" applyAlignment="1">
      <alignment horizontal="center"/>
    </xf>
    <xf numFmtId="1" fontId="0" fillId="0" borderId="0" xfId="0" applyNumberFormat="1" applyAlignment="1"/>
    <xf numFmtId="164" fontId="4" fillId="0" borderId="24" xfId="1" applyNumberFormat="1" applyFont="1" applyFill="1" applyBorder="1" applyAlignment="1">
      <alignment horizontal="center"/>
    </xf>
    <xf numFmtId="165" fontId="4" fillId="0" borderId="29" xfId="1" applyNumberFormat="1" applyFont="1" applyFill="1" applyBorder="1"/>
    <xf numFmtId="3" fontId="4" fillId="0" borderId="24" xfId="0" applyNumberFormat="1" applyFont="1" applyFill="1" applyBorder="1"/>
    <xf numFmtId="166" fontId="4" fillId="0" borderId="5" xfId="0" applyNumberFormat="1" applyFont="1" applyFill="1" applyBorder="1"/>
    <xf numFmtId="167" fontId="4" fillId="0" borderId="5" xfId="0" applyNumberFormat="1" applyFont="1" applyFill="1" applyBorder="1"/>
    <xf numFmtId="165" fontId="4" fillId="0" borderId="29" xfId="0" applyNumberFormat="1" applyFont="1" applyFill="1" applyBorder="1" applyAlignment="1">
      <alignment horizontal="right"/>
    </xf>
    <xf numFmtId="165" fontId="4" fillId="0" borderId="24" xfId="0" applyNumberFormat="1" applyFont="1" applyFill="1" applyBorder="1" applyAlignment="1">
      <alignment horizontal="right"/>
    </xf>
    <xf numFmtId="165" fontId="4" fillId="0" borderId="5" xfId="0" applyNumberFormat="1" applyFont="1" applyFill="1" applyBorder="1" applyAlignment="1">
      <alignment horizontal="right"/>
    </xf>
    <xf numFmtId="3" fontId="4" fillId="0" borderId="29" xfId="0" applyNumberFormat="1" applyFont="1" applyFill="1" applyBorder="1"/>
    <xf numFmtId="165" fontId="4" fillId="0" borderId="7" xfId="0" applyNumberFormat="1" applyFont="1" applyFill="1" applyBorder="1"/>
    <xf numFmtId="3" fontId="4" fillId="0" borderId="69" xfId="0" applyNumberFormat="1" applyFont="1" applyFill="1" applyBorder="1"/>
    <xf numFmtId="165" fontId="4" fillId="0" borderId="48" xfId="0" applyNumberFormat="1" applyFont="1" applyFill="1" applyBorder="1"/>
    <xf numFmtId="165" fontId="3" fillId="0" borderId="49" xfId="0" applyNumberFormat="1" applyFont="1" applyFill="1" applyBorder="1"/>
    <xf numFmtId="167" fontId="6" fillId="0" borderId="51" xfId="0" applyNumberFormat="1" applyFont="1" applyFill="1" applyBorder="1"/>
    <xf numFmtId="3" fontId="6" fillId="0" borderId="52" xfId="0" applyNumberFormat="1" applyFont="1" applyFill="1" applyBorder="1"/>
    <xf numFmtId="3" fontId="6" fillId="0" borderId="54" xfId="0" applyNumberFormat="1" applyFont="1" applyFill="1" applyBorder="1"/>
    <xf numFmtId="0" fontId="6" fillId="0" borderId="11" xfId="0" applyFont="1" applyBorder="1" applyAlignment="1"/>
    <xf numFmtId="0" fontId="27" fillId="0" borderId="0" xfId="2"/>
    <xf numFmtId="0" fontId="31" fillId="0" borderId="49" xfId="2" applyFont="1" applyFill="1" applyBorder="1" applyAlignment="1">
      <alignment horizontal="center" vertical="center" wrapText="1"/>
    </xf>
    <xf numFmtId="0" fontId="31" fillId="0" borderId="56" xfId="2" applyFont="1" applyFill="1" applyBorder="1" applyAlignment="1">
      <alignment wrapText="1"/>
    </xf>
    <xf numFmtId="0" fontId="31" fillId="0" borderId="56" xfId="2" applyFont="1" applyFill="1" applyBorder="1" applyAlignment="1">
      <alignment horizontal="center" vertical="center" wrapText="1"/>
    </xf>
    <xf numFmtId="0" fontId="31" fillId="0" borderId="21" xfId="2" applyFont="1" applyFill="1" applyBorder="1" applyAlignment="1">
      <alignment horizontal="center" vertical="center" wrapText="1"/>
    </xf>
    <xf numFmtId="0" fontId="31" fillId="0" borderId="57" xfId="2" applyFont="1" applyBorder="1"/>
    <xf numFmtId="10" fontId="31" fillId="0" borderId="55" xfId="2" applyNumberFormat="1" applyFont="1" applyBorder="1" applyAlignment="1">
      <alignment horizontal="right"/>
    </xf>
    <xf numFmtId="3" fontId="31" fillId="0" borderId="57" xfId="2" applyNumberFormat="1" applyFont="1" applyBorder="1"/>
    <xf numFmtId="3" fontId="31" fillId="0" borderId="0" xfId="2" applyNumberFormat="1" applyFont="1" applyBorder="1"/>
    <xf numFmtId="3" fontId="31" fillId="0" borderId="55" xfId="2" applyNumberFormat="1" applyFont="1" applyBorder="1"/>
    <xf numFmtId="3" fontId="31" fillId="0" borderId="30" xfId="2" applyNumberFormat="1" applyFont="1" applyBorder="1"/>
    <xf numFmtId="10" fontId="31" fillId="0" borderId="57" xfId="2" applyNumberFormat="1" applyFont="1" applyBorder="1" applyAlignment="1">
      <alignment horizontal="right"/>
    </xf>
    <xf numFmtId="10" fontId="31" fillId="0" borderId="59" xfId="2" applyNumberFormat="1" applyFont="1" applyBorder="1" applyAlignment="1">
      <alignment horizontal="right"/>
    </xf>
    <xf numFmtId="3" fontId="31" fillId="0" borderId="59" xfId="2" applyNumberFormat="1" applyFont="1" applyBorder="1"/>
    <xf numFmtId="0" fontId="31" fillId="0" borderId="49" xfId="2" applyFont="1" applyBorder="1"/>
    <xf numFmtId="10" fontId="31" fillId="0" borderId="49" xfId="2" applyNumberFormat="1" applyFont="1" applyBorder="1" applyAlignment="1">
      <alignment horizontal="right"/>
    </xf>
    <xf numFmtId="3" fontId="32" fillId="0" borderId="49" xfId="2" applyNumberFormat="1" applyFont="1" applyBorder="1"/>
    <xf numFmtId="49" fontId="4" fillId="0" borderId="10" xfId="0" applyNumberFormat="1" applyFont="1" applyBorder="1"/>
    <xf numFmtId="167" fontId="7" fillId="0" borderId="43" xfId="0" applyNumberFormat="1" applyFont="1" applyFill="1" applyBorder="1" applyAlignment="1"/>
    <xf numFmtId="167" fontId="7" fillId="0" borderId="34" xfId="0" applyNumberFormat="1" applyFont="1" applyFill="1" applyBorder="1" applyAlignment="1"/>
    <xf numFmtId="3" fontId="7" fillId="0" borderId="37" xfId="0" applyNumberFormat="1" applyFont="1" applyFill="1" applyBorder="1" applyAlignment="1"/>
    <xf numFmtId="167" fontId="7" fillId="0" borderId="18" xfId="0" applyNumberFormat="1" applyFont="1" applyFill="1" applyBorder="1" applyAlignment="1"/>
    <xf numFmtId="167" fontId="7" fillId="0" borderId="3" xfId="0" applyNumberFormat="1" applyFont="1" applyFill="1" applyBorder="1" applyAlignment="1"/>
    <xf numFmtId="167" fontId="7" fillId="0" borderId="65" xfId="0" applyNumberFormat="1" applyFont="1" applyFill="1" applyBorder="1" applyAlignment="1"/>
    <xf numFmtId="0" fontId="5" fillId="0" borderId="70" xfId="0" applyFont="1" applyBorder="1"/>
    <xf numFmtId="164" fontId="5" fillId="0" borderId="71" xfId="1" applyNumberFormat="1" applyFont="1" applyBorder="1" applyAlignment="1">
      <alignment horizontal="center"/>
    </xf>
    <xf numFmtId="165" fontId="5" fillId="0" borderId="8" xfId="1" applyNumberFormat="1" applyFont="1" applyBorder="1"/>
    <xf numFmtId="167" fontId="5" fillId="0" borderId="71" xfId="0" applyNumberFormat="1" applyFont="1" applyBorder="1"/>
    <xf numFmtId="3" fontId="5" fillId="0" borderId="8" xfId="0" applyNumberFormat="1" applyFont="1" applyFill="1" applyBorder="1" applyAlignment="1">
      <alignment horizontal="right"/>
    </xf>
    <xf numFmtId="0" fontId="5" fillId="0" borderId="28" xfId="0" applyFont="1" applyBorder="1"/>
    <xf numFmtId="164" fontId="5" fillId="0" borderId="8" xfId="1" applyNumberFormat="1" applyFont="1" applyBorder="1" applyAlignment="1">
      <alignment horizontal="center"/>
    </xf>
    <xf numFmtId="167" fontId="5" fillId="0" borderId="8" xfId="0" applyNumberFormat="1" applyFont="1" applyBorder="1"/>
    <xf numFmtId="0" fontId="5" fillId="0" borderId="34" xfId="0" applyFont="1" applyBorder="1"/>
    <xf numFmtId="164" fontId="5" fillId="0" borderId="36" xfId="1" applyNumberFormat="1" applyFont="1" applyBorder="1" applyAlignment="1">
      <alignment horizontal="center"/>
    </xf>
    <xf numFmtId="165" fontId="5" fillId="0" borderId="36" xfId="1" applyNumberFormat="1" applyFont="1" applyBorder="1"/>
    <xf numFmtId="167" fontId="5" fillId="0" borderId="36" xfId="0" applyNumberFormat="1" applyFont="1" applyBorder="1"/>
    <xf numFmtId="164" fontId="6" fillId="0" borderId="51" xfId="1" applyNumberFormat="1" applyFont="1" applyBorder="1" applyAlignment="1">
      <alignment horizontal="center"/>
    </xf>
    <xf numFmtId="3" fontId="6" fillId="0" borderId="51" xfId="0" applyNumberFormat="1" applyFont="1" applyFill="1" applyBorder="1" applyAlignment="1">
      <alignment horizontal="right"/>
    </xf>
    <xf numFmtId="165" fontId="6" fillId="0" borderId="54" xfId="0" applyNumberFormat="1" applyFont="1" applyFill="1" applyBorder="1" applyAlignment="1">
      <alignment horizontal="right"/>
    </xf>
    <xf numFmtId="0" fontId="6" fillId="0" borderId="71" xfId="0" applyFont="1" applyFill="1" applyBorder="1" applyAlignment="1">
      <alignment horizontal="center"/>
    </xf>
    <xf numFmtId="0" fontId="6" fillId="0" borderId="8" xfId="0" applyFont="1" applyFill="1" applyBorder="1" applyAlignment="1">
      <alignment horizontal="center"/>
    </xf>
    <xf numFmtId="49" fontId="6" fillId="0" borderId="8" xfId="0" applyNumberFormat="1" applyFont="1" applyFill="1" applyBorder="1" applyAlignment="1">
      <alignment horizontal="center"/>
    </xf>
    <xf numFmtId="49" fontId="6" fillId="0" borderId="36" xfId="0" applyNumberFormat="1" applyFont="1" applyFill="1" applyBorder="1" applyAlignment="1">
      <alignment horizontal="center"/>
    </xf>
    <xf numFmtId="49" fontId="6" fillId="0" borderId="37" xfId="0" applyNumberFormat="1" applyFont="1" applyFill="1" applyBorder="1" applyAlignment="1">
      <alignment horizontal="center"/>
    </xf>
    <xf numFmtId="3" fontId="5" fillId="0" borderId="71" xfId="0" applyNumberFormat="1" applyFont="1" applyBorder="1"/>
    <xf numFmtId="167" fontId="5" fillId="0" borderId="71" xfId="0" applyNumberFormat="1" applyFont="1" applyBorder="1" applyAlignment="1">
      <alignment horizontal="right"/>
    </xf>
    <xf numFmtId="3" fontId="5" fillId="0" borderId="8" xfId="0" applyNumberFormat="1" applyFont="1" applyBorder="1" applyAlignment="1">
      <alignment horizontal="right"/>
    </xf>
    <xf numFmtId="3" fontId="5" fillId="0" borderId="29" xfId="0" applyNumberFormat="1" applyFont="1" applyBorder="1" applyAlignment="1">
      <alignment horizontal="right"/>
    </xf>
    <xf numFmtId="3" fontId="5" fillId="0" borderId="8" xfId="0" applyNumberFormat="1" applyFont="1" applyBorder="1"/>
    <xf numFmtId="167" fontId="5" fillId="0" borderId="8" xfId="0" applyNumberFormat="1" applyFont="1" applyBorder="1" applyAlignment="1">
      <alignment horizontal="right"/>
    </xf>
    <xf numFmtId="3" fontId="5" fillId="0" borderId="36" xfId="0" applyNumberFormat="1" applyFont="1" applyBorder="1"/>
    <xf numFmtId="167" fontId="5" fillId="0" borderId="36" xfId="0" applyNumberFormat="1" applyFont="1" applyBorder="1" applyAlignment="1">
      <alignment horizontal="right"/>
    </xf>
    <xf numFmtId="3" fontId="6" fillId="0" borderId="36" xfId="0" applyNumberFormat="1" applyFont="1" applyBorder="1"/>
    <xf numFmtId="168" fontId="6" fillId="0" borderId="36" xfId="1" applyNumberFormat="1" applyFont="1" applyBorder="1"/>
    <xf numFmtId="3" fontId="6" fillId="0" borderId="51" xfId="0" applyNumberFormat="1" applyFont="1" applyBorder="1" applyAlignment="1">
      <alignment horizontal="right"/>
    </xf>
    <xf numFmtId="3" fontId="6" fillId="0" borderId="54" xfId="0" applyNumberFormat="1" applyFont="1" applyBorder="1" applyAlignment="1">
      <alignment horizontal="right"/>
    </xf>
    <xf numFmtId="49" fontId="12" fillId="0" borderId="36" xfId="0" applyNumberFormat="1" applyFont="1" applyFill="1" applyBorder="1" applyAlignment="1">
      <alignment horizontal="center"/>
    </xf>
    <xf numFmtId="0" fontId="12" fillId="0" borderId="36" xfId="0" applyFont="1" applyFill="1" applyBorder="1" applyAlignment="1">
      <alignment horizontal="center"/>
    </xf>
    <xf numFmtId="49" fontId="12" fillId="0" borderId="37" xfId="0" applyNumberFormat="1" applyFont="1" applyFill="1" applyBorder="1" applyAlignment="1">
      <alignment horizontal="center"/>
    </xf>
    <xf numFmtId="0" fontId="5" fillId="0" borderId="70" xfId="0" applyFont="1" applyFill="1" applyBorder="1"/>
    <xf numFmtId="164" fontId="5" fillId="0" borderId="8" xfId="1" applyNumberFormat="1" applyFont="1" applyFill="1" applyBorder="1" applyAlignment="1">
      <alignment horizontal="right"/>
    </xf>
    <xf numFmtId="165" fontId="5" fillId="0" borderId="8" xfId="1" applyNumberFormat="1" applyFont="1" applyFill="1" applyBorder="1"/>
    <xf numFmtId="4" fontId="5" fillId="0" borderId="8" xfId="0" applyNumberFormat="1" applyFont="1" applyFill="1" applyBorder="1"/>
    <xf numFmtId="166" fontId="5" fillId="0" borderId="8" xfId="0" applyNumberFormat="1" applyFont="1" applyFill="1" applyBorder="1"/>
    <xf numFmtId="167" fontId="5" fillId="0" borderId="8" xfId="0" applyNumberFormat="1" applyFont="1" applyFill="1" applyBorder="1"/>
    <xf numFmtId="3" fontId="5" fillId="0" borderId="8" xfId="0" applyNumberFormat="1" applyFont="1" applyFill="1" applyBorder="1" applyAlignment="1"/>
    <xf numFmtId="3" fontId="5" fillId="0" borderId="29" xfId="0" applyNumberFormat="1" applyFont="1" applyFill="1" applyBorder="1" applyAlignment="1"/>
    <xf numFmtId="0" fontId="5" fillId="0" borderId="28" xfId="0" applyFont="1" applyFill="1" applyBorder="1"/>
    <xf numFmtId="164" fontId="5" fillId="0" borderId="36" xfId="1" applyNumberFormat="1" applyFont="1" applyFill="1" applyBorder="1" applyAlignment="1">
      <alignment horizontal="right"/>
    </xf>
    <xf numFmtId="165" fontId="5" fillId="0" borderId="36" xfId="1" applyNumberFormat="1" applyFont="1" applyFill="1" applyBorder="1"/>
    <xf numFmtId="4" fontId="5" fillId="0" borderId="36" xfId="0" applyNumberFormat="1" applyFont="1" applyFill="1" applyBorder="1"/>
    <xf numFmtId="166" fontId="5" fillId="0" borderId="36" xfId="0" applyNumberFormat="1" applyFont="1" applyFill="1" applyBorder="1"/>
    <xf numFmtId="167" fontId="5" fillId="0" borderId="36" xfId="0" applyNumberFormat="1" applyFont="1" applyFill="1" applyBorder="1"/>
    <xf numFmtId="3" fontId="5" fillId="0" borderId="36" xfId="0" applyNumberFormat="1" applyFont="1" applyFill="1" applyBorder="1" applyAlignment="1"/>
    <xf numFmtId="3" fontId="5" fillId="0" borderId="37" xfId="0" applyNumberFormat="1" applyFont="1" applyFill="1" applyBorder="1" applyAlignment="1"/>
    <xf numFmtId="0" fontId="5" fillId="0" borderId="53" xfId="0" applyFont="1" applyFill="1" applyBorder="1"/>
    <xf numFmtId="164" fontId="6" fillId="0" borderId="51" xfId="1" applyNumberFormat="1" applyFont="1" applyFill="1" applyBorder="1" applyAlignment="1">
      <alignment horizontal="center"/>
    </xf>
    <xf numFmtId="165" fontId="6" fillId="0" borderId="51" xfId="1" applyNumberFormat="1" applyFont="1" applyFill="1" applyBorder="1"/>
    <xf numFmtId="4" fontId="6" fillId="0" borderId="36" xfId="0" applyNumberFormat="1" applyFont="1" applyFill="1" applyBorder="1"/>
    <xf numFmtId="166" fontId="6" fillId="0" borderId="36" xfId="0" applyNumberFormat="1" applyFont="1" applyFill="1" applyBorder="1"/>
    <xf numFmtId="3" fontId="6" fillId="0" borderId="36" xfId="0" applyNumberFormat="1" applyFont="1" applyFill="1" applyBorder="1"/>
    <xf numFmtId="3" fontId="6" fillId="0" borderId="51" xfId="0" applyNumberFormat="1" applyFont="1" applyFill="1" applyBorder="1" applyAlignment="1"/>
    <xf numFmtId="3" fontId="6" fillId="0" borderId="54" xfId="0" applyNumberFormat="1" applyFont="1" applyFill="1" applyBorder="1" applyAlignment="1"/>
    <xf numFmtId="0" fontId="6" fillId="0" borderId="71" xfId="0" applyFont="1" applyBorder="1" applyAlignment="1">
      <alignment horizontal="center" vertical="center" wrapText="1"/>
    </xf>
    <xf numFmtId="9" fontId="6" fillId="0" borderId="8" xfId="0" applyNumberFormat="1" applyFont="1" applyBorder="1" applyAlignment="1">
      <alignment horizontal="center" vertical="center" wrapText="1"/>
    </xf>
    <xf numFmtId="166" fontId="5" fillId="0" borderId="8" xfId="0" applyNumberFormat="1" applyFont="1" applyBorder="1"/>
    <xf numFmtId="3" fontId="5" fillId="0" borderId="29" xfId="0" applyNumberFormat="1" applyFont="1" applyBorder="1"/>
    <xf numFmtId="3" fontId="5" fillId="0" borderId="13" xfId="0" applyNumberFormat="1" applyFont="1" applyFill="1" applyBorder="1"/>
    <xf numFmtId="3" fontId="5" fillId="0" borderId="70" xfId="0" applyNumberFormat="1" applyFont="1" applyFill="1" applyBorder="1"/>
    <xf numFmtId="3" fontId="5" fillId="0" borderId="71" xfId="0" applyNumberFormat="1" applyFont="1" applyFill="1" applyBorder="1"/>
    <xf numFmtId="3" fontId="5" fillId="0" borderId="66" xfId="0" applyNumberFormat="1" applyFont="1" applyFill="1" applyBorder="1"/>
    <xf numFmtId="3" fontId="5" fillId="0" borderId="72" xfId="0" applyNumberFormat="1" applyFont="1" applyFill="1" applyBorder="1"/>
    <xf numFmtId="3" fontId="5" fillId="0" borderId="23" xfId="0" applyNumberFormat="1" applyFont="1" applyFill="1" applyBorder="1"/>
    <xf numFmtId="3" fontId="5" fillId="0" borderId="28" xfId="0" applyNumberFormat="1" applyFont="1" applyFill="1" applyBorder="1"/>
    <xf numFmtId="3" fontId="5" fillId="0" borderId="29" xfId="0" applyNumberFormat="1" applyFont="1" applyFill="1" applyBorder="1"/>
    <xf numFmtId="3" fontId="5" fillId="0" borderId="9" xfId="0" applyNumberFormat="1" applyFont="1" applyFill="1" applyBorder="1"/>
    <xf numFmtId="3" fontId="5" fillId="0" borderId="31" xfId="0" applyNumberFormat="1" applyFont="1" applyFill="1" applyBorder="1"/>
    <xf numFmtId="0" fontId="6" fillId="0" borderId="64" xfId="0" applyFont="1" applyFill="1" applyBorder="1" applyAlignment="1">
      <alignment horizontal="center"/>
    </xf>
    <xf numFmtId="3" fontId="5" fillId="0" borderId="66" xfId="0" applyNumberFormat="1" applyFont="1" applyBorder="1"/>
    <xf numFmtId="3" fontId="11" fillId="0" borderId="29" xfId="0" applyNumberFormat="1" applyFont="1" applyBorder="1" applyAlignment="1">
      <alignment horizontal="right" vertical="center" wrapText="1"/>
    </xf>
    <xf numFmtId="3" fontId="6" fillId="0" borderId="54" xfId="0" applyNumberFormat="1" applyFont="1" applyBorder="1"/>
    <xf numFmtId="0" fontId="5" fillId="0" borderId="20" xfId="0" applyFont="1" applyBorder="1"/>
    <xf numFmtId="9" fontId="6" fillId="0" borderId="28" xfId="0" applyNumberFormat="1" applyFont="1" applyBorder="1" applyAlignment="1">
      <alignment horizontal="center" vertical="center" wrapText="1"/>
    </xf>
    <xf numFmtId="166" fontId="5" fillId="0" borderId="28" xfId="0" applyNumberFormat="1" applyFont="1" applyBorder="1"/>
    <xf numFmtId="167" fontId="5" fillId="0" borderId="53" xfId="0" applyNumberFormat="1" applyFont="1" applyBorder="1" applyAlignment="1">
      <alignment horizontal="right"/>
    </xf>
    <xf numFmtId="49" fontId="6" fillId="0" borderId="64" xfId="0" applyNumberFormat="1" applyFont="1" applyFill="1" applyBorder="1" applyAlignment="1">
      <alignment horizontal="center"/>
    </xf>
    <xf numFmtId="0" fontId="6" fillId="0" borderId="44" xfId="0" applyFont="1" applyFill="1" applyBorder="1" applyAlignment="1">
      <alignment horizontal="center"/>
    </xf>
    <xf numFmtId="165" fontId="5" fillId="0" borderId="66" xfId="0" applyNumberFormat="1" applyFont="1" applyFill="1" applyBorder="1" applyAlignment="1">
      <alignment horizontal="right"/>
    </xf>
    <xf numFmtId="165" fontId="5" fillId="0" borderId="29" xfId="0" applyNumberFormat="1" applyFont="1" applyFill="1" applyBorder="1" applyAlignment="1">
      <alignment horizontal="right"/>
    </xf>
    <xf numFmtId="3" fontId="6" fillId="0" borderId="29" xfId="0" applyNumberFormat="1" applyFont="1" applyFill="1" applyBorder="1"/>
    <xf numFmtId="49" fontId="6" fillId="0" borderId="63" xfId="0" applyNumberFormat="1" applyFont="1" applyBorder="1" applyAlignment="1">
      <alignment horizontal="center"/>
    </xf>
    <xf numFmtId="49" fontId="6" fillId="0" borderId="64" xfId="0" applyNumberFormat="1" applyFont="1" applyBorder="1" applyAlignment="1">
      <alignment horizontal="center"/>
    </xf>
    <xf numFmtId="0" fontId="6" fillId="0" borderId="28" xfId="0" applyFont="1" applyBorder="1" applyAlignment="1">
      <alignment horizontal="center"/>
    </xf>
    <xf numFmtId="0" fontId="6" fillId="0" borderId="29" xfId="0" applyFont="1" applyFill="1" applyBorder="1" applyAlignment="1">
      <alignment horizontal="center"/>
    </xf>
    <xf numFmtId="49" fontId="6" fillId="0" borderId="43" xfId="0" applyNumberFormat="1" applyFont="1" applyBorder="1" applyAlignment="1">
      <alignment horizontal="center"/>
    </xf>
    <xf numFmtId="0" fontId="6" fillId="0" borderId="10" xfId="0" applyFont="1" applyBorder="1" applyAlignment="1">
      <alignment horizontal="center" vertical="center"/>
    </xf>
    <xf numFmtId="49" fontId="6" fillId="0" borderId="44" xfId="0" applyNumberFormat="1" applyFont="1" applyFill="1" applyBorder="1" applyAlignment="1">
      <alignment horizontal="center"/>
    </xf>
    <xf numFmtId="0" fontId="6" fillId="0" borderId="29" xfId="0" applyFont="1" applyFill="1" applyBorder="1" applyAlignment="1">
      <alignment horizontal="center" wrapText="1"/>
    </xf>
    <xf numFmtId="49" fontId="6" fillId="0" borderId="42" xfId="0" applyNumberFormat="1" applyFont="1" applyBorder="1" applyAlignment="1">
      <alignment horizontal="center"/>
    </xf>
    <xf numFmtId="0" fontId="6" fillId="0" borderId="5" xfId="0" applyFont="1" applyFill="1" applyBorder="1" applyAlignment="1">
      <alignment horizontal="center" vertical="center"/>
    </xf>
    <xf numFmtId="49" fontId="6" fillId="0" borderId="10" xfId="0" applyNumberFormat="1" applyFont="1" applyFill="1" applyBorder="1" applyAlignment="1">
      <alignment horizontal="center"/>
    </xf>
    <xf numFmtId="49" fontId="6" fillId="0" borderId="62" xfId="0" applyNumberFormat="1" applyFont="1" applyFill="1" applyBorder="1" applyAlignment="1">
      <alignment horizontal="center"/>
    </xf>
    <xf numFmtId="0" fontId="6" fillId="0" borderId="25" xfId="0" applyFont="1" applyFill="1" applyBorder="1" applyAlignment="1">
      <alignment horizontal="center" vertical="center"/>
    </xf>
    <xf numFmtId="49" fontId="6" fillId="0" borderId="46" xfId="0" applyNumberFormat="1" applyFont="1" applyBorder="1" applyAlignment="1">
      <alignment horizontal="center"/>
    </xf>
    <xf numFmtId="49" fontId="6" fillId="0" borderId="47" xfId="0" applyNumberFormat="1" applyFont="1" applyFill="1" applyBorder="1" applyAlignment="1">
      <alignment horizontal="center"/>
    </xf>
    <xf numFmtId="167" fontId="5" fillId="0" borderId="71" xfId="0" applyNumberFormat="1" applyFont="1" applyFill="1" applyBorder="1"/>
    <xf numFmtId="4" fontId="5" fillId="0" borderId="66" xfId="0" applyNumberFormat="1" applyFont="1" applyFill="1" applyBorder="1"/>
    <xf numFmtId="4" fontId="5" fillId="0" borderId="29" xfId="0" applyNumberFormat="1" applyFont="1" applyFill="1" applyBorder="1"/>
    <xf numFmtId="3" fontId="6" fillId="0" borderId="28" xfId="0" applyNumberFormat="1" applyFont="1" applyFill="1" applyBorder="1"/>
    <xf numFmtId="167" fontId="6" fillId="0" borderId="8" xfId="0" applyNumberFormat="1" applyFont="1" applyFill="1" applyBorder="1"/>
    <xf numFmtId="3" fontId="6" fillId="0" borderId="53" xfId="0" applyNumberFormat="1" applyFont="1" applyFill="1" applyBorder="1"/>
    <xf numFmtId="3" fontId="5" fillId="0" borderId="73" xfId="0" applyNumberFormat="1" applyFont="1" applyFill="1" applyBorder="1"/>
    <xf numFmtId="164" fontId="6" fillId="0" borderId="56" xfId="1" applyNumberFormat="1" applyFont="1" applyFill="1" applyBorder="1" applyAlignment="1">
      <alignment horizontal="center"/>
    </xf>
    <xf numFmtId="0" fontId="5" fillId="0" borderId="45" xfId="0" applyFont="1" applyBorder="1" applyAlignment="1">
      <alignment horizontal="center" vertical="center"/>
    </xf>
    <xf numFmtId="0" fontId="6" fillId="0" borderId="45"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1" xfId="0" applyFont="1" applyBorder="1" applyAlignment="1">
      <alignment horizontal="center" vertical="center"/>
    </xf>
    <xf numFmtId="0" fontId="8" fillId="0" borderId="24" xfId="0" applyFont="1" applyFill="1" applyBorder="1" applyAlignment="1">
      <alignment horizontal="center"/>
    </xf>
    <xf numFmtId="0" fontId="8" fillId="0" borderId="5" xfId="0" applyFont="1" applyFill="1" applyBorder="1" applyAlignment="1">
      <alignment horizontal="center"/>
    </xf>
    <xf numFmtId="0" fontId="8" fillId="0" borderId="28" xfId="0" applyFont="1" applyFill="1" applyBorder="1" applyAlignment="1">
      <alignment horizontal="center"/>
    </xf>
    <xf numFmtId="0" fontId="8" fillId="0" borderId="8" xfId="0" applyFont="1" applyFill="1" applyBorder="1" applyAlignment="1">
      <alignment horizontal="center"/>
    </xf>
    <xf numFmtId="9" fontId="8" fillId="0" borderId="8" xfId="0" applyNumberFormat="1" applyFont="1" applyFill="1" applyBorder="1" applyAlignment="1">
      <alignment horizontal="center"/>
    </xf>
    <xf numFmtId="49" fontId="8" fillId="0" borderId="34"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8" fillId="0" borderId="28" xfId="0" applyNumberFormat="1" applyFont="1" applyFill="1" applyBorder="1" applyAlignment="1">
      <alignment horizontal="center"/>
    </xf>
    <xf numFmtId="4" fontId="8" fillId="0" borderId="8" xfId="0" applyNumberFormat="1" applyFont="1" applyFill="1" applyBorder="1" applyAlignment="1">
      <alignment horizontal="center" vertical="center" wrapText="1"/>
    </xf>
    <xf numFmtId="0" fontId="8" fillId="0" borderId="36" xfId="0" applyFont="1" applyFill="1" applyBorder="1" applyAlignment="1">
      <alignment horizontal="center"/>
    </xf>
    <xf numFmtId="49" fontId="14" fillId="0" borderId="36" xfId="0" applyNumberFormat="1" applyFont="1" applyFill="1" applyBorder="1" applyAlignment="1">
      <alignment horizontal="center" vertical="center" wrapText="1"/>
    </xf>
    <xf numFmtId="49" fontId="14" fillId="0" borderId="37" xfId="0" applyNumberFormat="1" applyFont="1" applyFill="1" applyBorder="1" applyAlignment="1">
      <alignment horizontal="center" vertical="center" wrapText="1"/>
    </xf>
    <xf numFmtId="164" fontId="3" fillId="0" borderId="53" xfId="1" applyNumberFormat="1" applyFont="1" applyFill="1" applyBorder="1" applyAlignment="1">
      <alignment horizontal="center"/>
    </xf>
    <xf numFmtId="165" fontId="3" fillId="0" borderId="54" xfId="1" applyNumberFormat="1" applyFont="1" applyFill="1" applyBorder="1"/>
    <xf numFmtId="167" fontId="0" fillId="0" borderId="0" xfId="0" applyNumberFormat="1" applyFill="1" applyBorder="1"/>
    <xf numFmtId="0" fontId="33" fillId="0" borderId="0" xfId="0" applyFont="1" applyFill="1"/>
    <xf numFmtId="0" fontId="33" fillId="0" borderId="0" xfId="0" applyFont="1" applyFill="1" applyAlignment="1">
      <alignment horizontal="center"/>
    </xf>
    <xf numFmtId="4" fontId="33" fillId="0" borderId="0" xfId="0" applyNumberFormat="1" applyFont="1" applyFill="1" applyAlignment="1">
      <alignment horizontal="center"/>
    </xf>
    <xf numFmtId="0" fontId="17" fillId="0" borderId="0" xfId="0" applyFont="1" applyFill="1"/>
    <xf numFmtId="0" fontId="17" fillId="0" borderId="0" xfId="0" applyFont="1"/>
    <xf numFmtId="0" fontId="33" fillId="0" borderId="0" xfId="0" applyFont="1" applyBorder="1" applyAlignment="1">
      <alignment horizontal="center" vertical="center"/>
    </xf>
    <xf numFmtId="0" fontId="17" fillId="0" borderId="0" xfId="0" applyFont="1" applyAlignment="1"/>
    <xf numFmtId="170" fontId="17" fillId="0" borderId="0" xfId="0" applyNumberFormat="1" applyFont="1" applyFill="1"/>
    <xf numFmtId="4" fontId="34" fillId="0" borderId="0" xfId="0" applyNumberFormat="1" applyFont="1"/>
    <xf numFmtId="4" fontId="34" fillId="0" borderId="0" xfId="0" applyNumberFormat="1" applyFont="1" applyFill="1"/>
    <xf numFmtId="0" fontId="16" fillId="0" borderId="0" xfId="0" applyFont="1"/>
    <xf numFmtId="0" fontId="16" fillId="0" borderId="0" xfId="0" applyFont="1" applyAlignment="1"/>
    <xf numFmtId="0" fontId="16" fillId="0" borderId="0" xfId="0" applyFont="1" applyFill="1"/>
    <xf numFmtId="0" fontId="35" fillId="0" borderId="5" xfId="0" applyFont="1" applyBorder="1" applyAlignment="1">
      <alignment horizontal="center"/>
    </xf>
    <xf numFmtId="0" fontId="35" fillId="0" borderId="5" xfId="0" applyFont="1" applyBorder="1" applyAlignment="1">
      <alignment horizontal="center" vertical="center"/>
    </xf>
    <xf numFmtId="0" fontId="35" fillId="0" borderId="8" xfId="0" applyFont="1" applyBorder="1" applyAlignment="1">
      <alignment horizontal="center"/>
    </xf>
    <xf numFmtId="0" fontId="35" fillId="0" borderId="8" xfId="0" applyFont="1" applyBorder="1" applyAlignment="1">
      <alignment horizontal="center" vertical="center"/>
    </xf>
    <xf numFmtId="49" fontId="35" fillId="0" borderId="8" xfId="0" applyNumberFormat="1" applyFont="1" applyBorder="1" applyAlignment="1">
      <alignment horizontal="center"/>
    </xf>
    <xf numFmtId="49" fontId="35" fillId="0" borderId="10" xfId="0" applyNumberFormat="1" applyFont="1" applyBorder="1" applyAlignment="1">
      <alignment horizontal="center"/>
    </xf>
    <xf numFmtId="0" fontId="16" fillId="0" borderId="26" xfId="0" applyFont="1" applyBorder="1"/>
    <xf numFmtId="164" fontId="16" fillId="0" borderId="6" xfId="1" applyNumberFormat="1" applyFont="1" applyBorder="1" applyAlignment="1">
      <alignment horizontal="center"/>
    </xf>
    <xf numFmtId="4" fontId="16" fillId="0" borderId="6" xfId="0" applyNumberFormat="1" applyFont="1" applyBorder="1"/>
    <xf numFmtId="4" fontId="16" fillId="0" borderId="0" xfId="0" applyNumberFormat="1" applyFont="1"/>
    <xf numFmtId="4" fontId="36" fillId="0" borderId="0" xfId="0" applyNumberFormat="1" applyFont="1"/>
    <xf numFmtId="0" fontId="16" fillId="0" borderId="69" xfId="0" applyFont="1" applyBorder="1"/>
    <xf numFmtId="164" fontId="16" fillId="0" borderId="0" xfId="1" applyNumberFormat="1" applyFont="1" applyBorder="1" applyAlignment="1">
      <alignment horizontal="center"/>
    </xf>
    <xf numFmtId="4" fontId="16" fillId="0" borderId="0" xfId="0" applyNumberFormat="1" applyFont="1" applyBorder="1"/>
    <xf numFmtId="0" fontId="35" fillId="0" borderId="4" xfId="0" applyFont="1" applyBorder="1"/>
    <xf numFmtId="164" fontId="35" fillId="0" borderId="4" xfId="1" applyNumberFormat="1" applyFont="1" applyBorder="1" applyAlignment="1">
      <alignment horizontal="center"/>
    </xf>
    <xf numFmtId="4" fontId="35" fillId="0" borderId="4" xfId="0" applyNumberFormat="1" applyFont="1" applyBorder="1"/>
    <xf numFmtId="2" fontId="35" fillId="0" borderId="4" xfId="0" applyNumberFormat="1" applyFont="1" applyBorder="1"/>
    <xf numFmtId="0" fontId="37" fillId="0" borderId="0" xfId="0" applyFont="1" applyFill="1" applyAlignment="1"/>
    <xf numFmtId="0" fontId="35" fillId="0" borderId="0" xfId="0" applyFont="1" applyFill="1" applyBorder="1" applyAlignment="1">
      <alignment horizontal="left"/>
    </xf>
    <xf numFmtId="0" fontId="37" fillId="0" borderId="0" xfId="0" applyFont="1" applyFill="1" applyBorder="1" applyAlignment="1">
      <alignment horizontal="left"/>
    </xf>
    <xf numFmtId="0" fontId="13" fillId="0" borderId="0" xfId="0" applyFont="1"/>
    <xf numFmtId="0" fontId="16"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6" fillId="0" borderId="0" xfId="0" applyFont="1" applyAlignment="1">
      <alignment vertical="justify"/>
    </xf>
    <xf numFmtId="0" fontId="16" fillId="0" borderId="0" xfId="0" applyFont="1" applyAlignment="1">
      <alignment vertical="center" wrapText="1"/>
    </xf>
    <xf numFmtId="165" fontId="38" fillId="0" borderId="0" xfId="0" applyNumberFormat="1" applyFont="1" applyAlignment="1">
      <alignment vertical="center" wrapText="1"/>
    </xf>
    <xf numFmtId="165" fontId="16" fillId="0" borderId="0" xfId="0" applyNumberFormat="1" applyFont="1" applyAlignment="1">
      <alignment horizontal="left" vertical="center" wrapText="1"/>
    </xf>
    <xf numFmtId="0" fontId="16" fillId="0" borderId="0" xfId="0" applyFont="1" applyAlignment="1">
      <alignment horizontal="left" vertical="justify"/>
    </xf>
    <xf numFmtId="49" fontId="6" fillId="0" borderId="36" xfId="0" applyNumberFormat="1" applyFont="1" applyFill="1" applyBorder="1" applyAlignment="1">
      <alignment horizontal="center" vertical="justify"/>
    </xf>
    <xf numFmtId="49" fontId="6" fillId="0" borderId="37" xfId="0" applyNumberFormat="1" applyFont="1" applyFill="1" applyBorder="1" applyAlignment="1">
      <alignment horizontal="center" vertical="justify"/>
    </xf>
    <xf numFmtId="49" fontId="6" fillId="0" borderId="34" xfId="0" applyNumberFormat="1" applyFont="1" applyBorder="1" applyAlignment="1">
      <alignment horizontal="center" vertical="center" wrapText="1"/>
    </xf>
    <xf numFmtId="49" fontId="6" fillId="0" borderId="36" xfId="0" applyNumberFormat="1" applyFont="1" applyBorder="1" applyAlignment="1">
      <alignment horizontal="center" vertical="center" wrapText="1"/>
    </xf>
    <xf numFmtId="0" fontId="6" fillId="0" borderId="37" xfId="0" applyFont="1" applyBorder="1" applyAlignment="1">
      <alignment horizontal="center" vertical="center" wrapText="1"/>
    </xf>
    <xf numFmtId="49" fontId="6" fillId="0" borderId="37" xfId="0" applyNumberFormat="1" applyFont="1" applyBorder="1" applyAlignment="1">
      <alignment horizontal="center" vertical="center" wrapText="1"/>
    </xf>
    <xf numFmtId="0" fontId="0" fillId="0" borderId="0" xfId="0" applyAlignment="1">
      <alignment horizontal="left"/>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6" fillId="0" borderId="8" xfId="0" applyNumberFormat="1" applyFont="1" applyBorder="1" applyAlignment="1">
      <alignment horizontal="center" vertical="justify" wrapText="1"/>
    </xf>
    <xf numFmtId="10" fontId="0" fillId="0" borderId="0" xfId="0" applyNumberFormat="1"/>
    <xf numFmtId="3" fontId="5" fillId="0" borderId="4" xfId="0" applyNumberFormat="1" applyFont="1" applyFill="1" applyBorder="1"/>
    <xf numFmtId="0" fontId="5" fillId="0" borderId="0" xfId="0" applyFont="1" applyFill="1" applyBorder="1" applyAlignment="1">
      <alignment horizontal="left"/>
    </xf>
    <xf numFmtId="0" fontId="5" fillId="0" borderId="69" xfId="0" applyFont="1" applyFill="1" applyBorder="1" applyAlignment="1">
      <alignment horizontal="right"/>
    </xf>
    <xf numFmtId="0" fontId="5" fillId="0" borderId="0" xfId="0" applyFont="1" applyFill="1" applyBorder="1" applyAlignment="1">
      <alignment horizontal="right"/>
    </xf>
    <xf numFmtId="0" fontId="5" fillId="0" borderId="9" xfId="0" applyFont="1" applyFill="1" applyBorder="1" applyAlignment="1">
      <alignment horizontal="left"/>
    </xf>
    <xf numFmtId="4" fontId="5" fillId="0" borderId="30" xfId="0" applyNumberFormat="1" applyFont="1" applyFill="1" applyBorder="1" applyAlignment="1">
      <alignment horizontal="right"/>
    </xf>
    <xf numFmtId="0" fontId="5" fillId="0" borderId="20" xfId="0" applyFont="1" applyFill="1" applyBorder="1" applyAlignment="1">
      <alignment horizontal="left"/>
    </xf>
    <xf numFmtId="0" fontId="5" fillId="0" borderId="56" xfId="0" applyFont="1" applyFill="1" applyBorder="1" applyAlignment="1">
      <alignment horizontal="left"/>
    </xf>
    <xf numFmtId="0" fontId="5" fillId="0" borderId="21" xfId="0" applyFont="1" applyFill="1" applyBorder="1" applyAlignment="1">
      <alignment horizontal="left"/>
    </xf>
    <xf numFmtId="4" fontId="5" fillId="0" borderId="21" xfId="0" applyNumberFormat="1" applyFont="1" applyFill="1" applyBorder="1" applyAlignment="1">
      <alignment horizontal="right"/>
    </xf>
    <xf numFmtId="0" fontId="9" fillId="0" borderId="55" xfId="0" applyFont="1" applyFill="1" applyBorder="1" applyAlignment="1">
      <alignment horizontal="center"/>
    </xf>
    <xf numFmtId="0" fontId="9" fillId="0" borderId="57" xfId="0" applyFont="1" applyFill="1" applyBorder="1" applyAlignment="1">
      <alignment horizontal="center"/>
    </xf>
    <xf numFmtId="49" fontId="9" fillId="0" borderId="57" xfId="0" applyNumberFormat="1" applyFont="1" applyFill="1" applyBorder="1" applyAlignment="1">
      <alignment horizontal="center"/>
    </xf>
    <xf numFmtId="9" fontId="9" fillId="0" borderId="57" xfId="0" applyNumberFormat="1" applyFont="1" applyFill="1" applyBorder="1" applyAlignment="1">
      <alignment horizontal="center"/>
    </xf>
    <xf numFmtId="49" fontId="9" fillId="0" borderId="31" xfId="0" applyNumberFormat="1" applyFont="1" applyFill="1" applyBorder="1" applyAlignment="1">
      <alignment horizontal="center"/>
    </xf>
    <xf numFmtId="49" fontId="9" fillId="0" borderId="59" xfId="0" applyNumberFormat="1" applyFont="1" applyFill="1" applyBorder="1" applyAlignment="1">
      <alignment horizontal="center"/>
    </xf>
    <xf numFmtId="49" fontId="9" fillId="0" borderId="22" xfId="0" applyNumberFormat="1" applyFont="1" applyFill="1" applyBorder="1" applyAlignment="1">
      <alignment horizontal="center"/>
    </xf>
    <xf numFmtId="49" fontId="9" fillId="0" borderId="40" xfId="0" applyNumberFormat="1" applyFont="1" applyFill="1" applyBorder="1" applyAlignment="1">
      <alignment horizontal="center"/>
    </xf>
    <xf numFmtId="0" fontId="5" fillId="0" borderId="23" xfId="0" applyFont="1" applyFill="1" applyBorder="1"/>
    <xf numFmtId="164" fontId="5" fillId="0" borderId="23" xfId="1" applyNumberFormat="1" applyFont="1" applyFill="1" applyBorder="1" applyAlignment="1">
      <alignment horizontal="center"/>
    </xf>
    <xf numFmtId="41" fontId="5" fillId="0" borderId="57" xfId="1" applyNumberFormat="1" applyFont="1" applyFill="1" applyBorder="1"/>
    <xf numFmtId="167" fontId="5" fillId="0" borderId="0" xfId="0" applyNumberFormat="1" applyFont="1" applyFill="1" applyBorder="1" applyAlignment="1">
      <alignment horizontal="right" vertical="center"/>
    </xf>
    <xf numFmtId="167" fontId="5" fillId="0" borderId="57" xfId="0" applyNumberFormat="1" applyFont="1" applyFill="1" applyBorder="1" applyAlignment="1">
      <alignment horizontal="right" vertical="center"/>
    </xf>
    <xf numFmtId="167" fontId="5" fillId="0" borderId="23" xfId="0" applyNumberFormat="1" applyFont="1" applyFill="1" applyBorder="1" applyAlignment="1">
      <alignment horizontal="right" vertical="center"/>
    </xf>
    <xf numFmtId="167" fontId="5" fillId="0" borderId="55" xfId="0" applyNumberFormat="1" applyFont="1" applyFill="1" applyBorder="1" applyAlignment="1">
      <alignment horizontal="right" vertical="center"/>
    </xf>
    <xf numFmtId="167" fontId="5" fillId="0" borderId="30" xfId="0" applyNumberFormat="1" applyFont="1" applyFill="1" applyBorder="1"/>
    <xf numFmtId="167" fontId="5" fillId="0" borderId="57" xfId="0" applyNumberFormat="1" applyFont="1" applyFill="1" applyBorder="1"/>
    <xf numFmtId="3" fontId="5" fillId="0" borderId="57" xfId="0" applyNumberFormat="1" applyFont="1" applyFill="1" applyBorder="1"/>
    <xf numFmtId="41" fontId="5" fillId="0" borderId="59" xfId="1" applyNumberFormat="1" applyFont="1" applyFill="1" applyBorder="1"/>
    <xf numFmtId="0" fontId="6" fillId="0" borderId="20" xfId="0" applyFont="1" applyFill="1" applyBorder="1"/>
    <xf numFmtId="164" fontId="6" fillId="0" borderId="49" xfId="1" applyNumberFormat="1" applyFont="1" applyFill="1" applyBorder="1" applyAlignment="1">
      <alignment horizontal="center"/>
    </xf>
    <xf numFmtId="167" fontId="6" fillId="0" borderId="56" xfId="0" applyNumberFormat="1" applyFont="1" applyFill="1" applyBorder="1" applyAlignment="1">
      <alignment horizontal="right" vertical="center"/>
    </xf>
    <xf numFmtId="167" fontId="6" fillId="0" borderId="49" xfId="0" applyNumberFormat="1" applyFont="1" applyFill="1" applyBorder="1" applyAlignment="1">
      <alignment horizontal="right" vertical="center"/>
    </xf>
    <xf numFmtId="167" fontId="6" fillId="0" borderId="20" xfId="0" applyNumberFormat="1" applyFont="1" applyFill="1" applyBorder="1" applyAlignment="1">
      <alignment horizontal="right" vertical="center"/>
    </xf>
    <xf numFmtId="167" fontId="6" fillId="0" borderId="21" xfId="0" applyNumberFormat="1" applyFont="1" applyFill="1" applyBorder="1"/>
    <xf numFmtId="167" fontId="6" fillId="0" borderId="49" xfId="0" applyNumberFormat="1" applyFont="1" applyFill="1" applyBorder="1"/>
    <xf numFmtId="3" fontId="6" fillId="0" borderId="49" xfId="0" applyNumberFormat="1" applyFont="1" applyFill="1" applyBorder="1"/>
    <xf numFmtId="0" fontId="16" fillId="0" borderId="0" xfId="0" applyFont="1" applyAlignment="1">
      <alignment vertical="top"/>
    </xf>
    <xf numFmtId="173" fontId="0" fillId="0" borderId="0" xfId="0" applyNumberFormat="1" applyFill="1"/>
    <xf numFmtId="0" fontId="0" fillId="0" borderId="0" xfId="0" applyFill="1" applyAlignment="1">
      <alignment horizontal="center"/>
    </xf>
    <xf numFmtId="4" fontId="5" fillId="0" borderId="69" xfId="0" applyNumberFormat="1" applyFont="1" applyFill="1" applyBorder="1" applyAlignment="1"/>
    <xf numFmtId="4" fontId="5" fillId="0" borderId="0" xfId="0" applyNumberFormat="1" applyFont="1" applyFill="1" applyBorder="1" applyAlignment="1"/>
    <xf numFmtId="4" fontId="6" fillId="0" borderId="69" xfId="0" applyNumberFormat="1" applyFont="1" applyFill="1" applyBorder="1" applyAlignment="1"/>
    <xf numFmtId="4" fontId="6" fillId="0" borderId="0" xfId="0" applyNumberFormat="1" applyFont="1" applyFill="1" applyBorder="1" applyAlignment="1"/>
    <xf numFmtId="3" fontId="15" fillId="0" borderId="4" xfId="0" applyNumberFormat="1" applyFont="1" applyBorder="1"/>
    <xf numFmtId="4" fontId="5" fillId="0" borderId="69" xfId="0" applyNumberFormat="1" applyFont="1" applyFill="1" applyBorder="1" applyAlignment="1">
      <alignment horizontal="right"/>
    </xf>
    <xf numFmtId="1" fontId="8" fillId="0" borderId="8" xfId="0" applyNumberFormat="1" applyFont="1" applyFill="1" applyBorder="1" applyAlignment="1">
      <alignment horizontal="center"/>
    </xf>
    <xf numFmtId="9" fontId="5" fillId="0" borderId="69" xfId="0" applyNumberFormat="1" applyFont="1" applyFill="1" applyBorder="1" applyAlignment="1">
      <alignment horizontal="right"/>
    </xf>
    <xf numFmtId="4" fontId="10" fillId="0" borderId="0" xfId="0" applyNumberFormat="1" applyFont="1" applyFill="1" applyBorder="1" applyAlignment="1">
      <alignment horizontal="right"/>
    </xf>
    <xf numFmtId="9" fontId="5" fillId="0" borderId="69" xfId="0" applyNumberFormat="1" applyFont="1" applyFill="1" applyBorder="1" applyAlignment="1">
      <alignment horizontal="left"/>
    </xf>
    <xf numFmtId="0" fontId="5" fillId="0" borderId="70" xfId="0" applyFont="1" applyBorder="1" applyAlignment="1">
      <alignment horizontal="center" vertical="center"/>
    </xf>
    <xf numFmtId="0" fontId="5" fillId="0" borderId="28" xfId="0" applyFont="1" applyBorder="1" applyAlignment="1">
      <alignment horizontal="center" vertical="center"/>
    </xf>
    <xf numFmtId="0" fontId="5" fillId="0" borderId="39" xfId="0" applyFont="1" applyFill="1" applyBorder="1" applyAlignment="1">
      <alignment horizontal="right"/>
    </xf>
    <xf numFmtId="0" fontId="5" fillId="0" borderId="22" xfId="0" applyFont="1" applyFill="1" applyBorder="1" applyAlignment="1">
      <alignment horizontal="right"/>
    </xf>
    <xf numFmtId="4" fontId="5" fillId="0" borderId="40" xfId="0" applyNumberFormat="1" applyFont="1" applyFill="1" applyBorder="1" applyAlignment="1">
      <alignment horizontal="right"/>
    </xf>
    <xf numFmtId="0" fontId="5" fillId="0" borderId="31" xfId="0" applyFont="1" applyFill="1" applyBorder="1" applyAlignment="1">
      <alignment horizontal="center" vertical="center"/>
    </xf>
    <xf numFmtId="0" fontId="5" fillId="7" borderId="20" xfId="0" applyFont="1" applyFill="1" applyBorder="1" applyAlignment="1">
      <alignment horizontal="right"/>
    </xf>
    <xf numFmtId="0" fontId="5" fillId="7" borderId="56" xfId="0" applyFont="1" applyFill="1" applyBorder="1" applyAlignment="1">
      <alignment horizontal="right"/>
    </xf>
    <xf numFmtId="4" fontId="6" fillId="7" borderId="21" xfId="0" applyNumberFormat="1" applyFont="1" applyFill="1" applyBorder="1" applyAlignment="1">
      <alignment horizontal="right"/>
    </xf>
    <xf numFmtId="0" fontId="6" fillId="0" borderId="73" xfId="0" applyFont="1" applyFill="1" applyBorder="1" applyAlignment="1">
      <alignment horizontal="center"/>
    </xf>
    <xf numFmtId="0" fontId="6" fillId="0" borderId="14" xfId="0" applyFont="1" applyFill="1" applyBorder="1" applyAlignment="1">
      <alignment horizontal="center"/>
    </xf>
    <xf numFmtId="0" fontId="6" fillId="0" borderId="72" xfId="0" applyFont="1" applyFill="1" applyBorder="1" applyAlignment="1">
      <alignment horizontal="center"/>
    </xf>
    <xf numFmtId="0" fontId="5" fillId="0" borderId="73" xfId="0" applyFont="1" applyFill="1" applyBorder="1" applyAlignment="1">
      <alignment horizontal="right"/>
    </xf>
    <xf numFmtId="0" fontId="5" fillId="0" borderId="14" xfId="0" applyFont="1" applyFill="1" applyBorder="1" applyAlignment="1">
      <alignment horizontal="right"/>
    </xf>
    <xf numFmtId="0" fontId="5" fillId="0" borderId="58" xfId="0" applyFont="1" applyFill="1" applyBorder="1" applyAlignment="1">
      <alignment horizontal="right"/>
    </xf>
    <xf numFmtId="4" fontId="6" fillId="0" borderId="30" xfId="0" applyNumberFormat="1" applyFont="1" applyFill="1" applyBorder="1" applyAlignment="1">
      <alignment horizontal="right"/>
    </xf>
    <xf numFmtId="0" fontId="5" fillId="0" borderId="31" xfId="0" applyFont="1" applyBorder="1" applyAlignment="1">
      <alignment horizontal="center" vertical="center"/>
    </xf>
    <xf numFmtId="0" fontId="5" fillId="0" borderId="56" xfId="0" applyFont="1" applyFill="1" applyBorder="1" applyAlignment="1">
      <alignment horizontal="right"/>
    </xf>
    <xf numFmtId="4" fontId="6" fillId="0" borderId="21" xfId="0" applyNumberFormat="1" applyFont="1" applyFill="1" applyBorder="1" applyAlignment="1">
      <alignment horizontal="right"/>
    </xf>
    <xf numFmtId="0" fontId="5" fillId="7" borderId="20" xfId="0" applyFont="1" applyFill="1" applyBorder="1" applyAlignment="1">
      <alignment horizontal="left"/>
    </xf>
    <xf numFmtId="0" fontId="5" fillId="7" borderId="56" xfId="0" applyFont="1" applyFill="1" applyBorder="1" applyAlignment="1">
      <alignment horizontal="left"/>
    </xf>
    <xf numFmtId="0" fontId="5" fillId="7" borderId="21" xfId="0" applyFont="1" applyFill="1" applyBorder="1" applyAlignment="1">
      <alignment horizontal="left"/>
    </xf>
    <xf numFmtId="4" fontId="6" fillId="0" borderId="30" xfId="0" applyNumberFormat="1" applyFont="1" applyFill="1" applyBorder="1" applyAlignment="1"/>
    <xf numFmtId="0" fontId="5" fillId="0" borderId="20" xfId="0" applyFont="1" applyFill="1" applyBorder="1" applyAlignment="1">
      <alignment horizontal="right"/>
    </xf>
    <xf numFmtId="0" fontId="5" fillId="0" borderId="14" xfId="0" applyFont="1" applyFill="1" applyBorder="1" applyAlignment="1">
      <alignment horizontal="left"/>
    </xf>
    <xf numFmtId="4" fontId="5" fillId="0" borderId="30" xfId="0" applyNumberFormat="1" applyFont="1" applyFill="1" applyBorder="1" applyAlignment="1"/>
    <xf numFmtId="4" fontId="6" fillId="0" borderId="30" xfId="0" applyNumberFormat="1" applyFont="1" applyBorder="1"/>
    <xf numFmtId="0" fontId="5" fillId="0" borderId="13" xfId="0" applyFont="1" applyBorder="1" applyAlignment="1">
      <alignment horizontal="center" vertical="center"/>
    </xf>
    <xf numFmtId="0" fontId="5" fillId="0" borderId="73" xfId="0" applyFont="1" applyFill="1" applyBorder="1" applyAlignment="1">
      <alignment horizontal="left"/>
    </xf>
    <xf numFmtId="0" fontId="5" fillId="0" borderId="72" xfId="0" applyFont="1" applyFill="1" applyBorder="1" applyAlignment="1">
      <alignment horizontal="left"/>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23" xfId="0" applyFont="1" applyFill="1" applyBorder="1" applyAlignment="1">
      <alignment horizontal="center" vertical="center"/>
    </xf>
    <xf numFmtId="0" fontId="5" fillId="0" borderId="13" xfId="0" applyFont="1" applyFill="1" applyBorder="1" applyAlignment="1">
      <alignment horizontal="center" vertical="center"/>
    </xf>
    <xf numFmtId="165" fontId="6" fillId="0" borderId="59" xfId="1" applyNumberFormat="1" applyFont="1" applyFill="1" applyBorder="1"/>
    <xf numFmtId="4" fontId="0" fillId="0" borderId="0" xfId="0" applyNumberFormat="1" applyBorder="1"/>
    <xf numFmtId="4" fontId="16" fillId="0" borderId="0" xfId="0" applyNumberFormat="1" applyFont="1" applyBorder="1" applyAlignment="1">
      <alignment vertical="center"/>
    </xf>
    <xf numFmtId="4" fontId="5" fillId="7" borderId="20" xfId="0" applyNumberFormat="1" applyFont="1" applyFill="1" applyBorder="1" applyAlignment="1">
      <alignment horizontal="right"/>
    </xf>
    <xf numFmtId="0" fontId="6" fillId="0" borderId="37" xfId="0" applyFont="1" applyFill="1" applyBorder="1" applyAlignment="1">
      <alignment horizontal="center" vertical="center" wrapText="1"/>
    </xf>
    <xf numFmtId="0" fontId="27" fillId="0" borderId="0" xfId="4"/>
    <xf numFmtId="0" fontId="31" fillId="0" borderId="49" xfId="4" applyFont="1" applyBorder="1" applyAlignment="1">
      <alignment horizontal="center" vertical="center" wrapText="1"/>
    </xf>
    <xf numFmtId="0" fontId="31" fillId="0" borderId="56" xfId="4" applyFont="1" applyBorder="1" applyAlignment="1">
      <alignment wrapText="1"/>
    </xf>
    <xf numFmtId="0" fontId="31" fillId="0" borderId="56" xfId="4" applyFont="1" applyBorder="1" applyAlignment="1">
      <alignment horizontal="center" vertical="center" wrapText="1"/>
    </xf>
    <xf numFmtId="0" fontId="31" fillId="0" borderId="21" xfId="4" applyFont="1" applyBorder="1" applyAlignment="1">
      <alignment horizontal="center" vertical="center" wrapText="1"/>
    </xf>
    <xf numFmtId="0" fontId="31" fillId="0" borderId="57" xfId="4" applyFont="1" applyBorder="1"/>
    <xf numFmtId="167" fontId="31" fillId="0" borderId="0" xfId="4" applyNumberFormat="1" applyFont="1" applyBorder="1"/>
    <xf numFmtId="3" fontId="31" fillId="0" borderId="57" xfId="4" applyNumberFormat="1" applyFont="1" applyBorder="1"/>
    <xf numFmtId="3" fontId="31" fillId="0" borderId="30" xfId="4" applyNumberFormat="1" applyFont="1" applyBorder="1"/>
    <xf numFmtId="4" fontId="27" fillId="0" borderId="0" xfId="4" applyNumberFormat="1"/>
    <xf numFmtId="0" fontId="31" fillId="0" borderId="49" xfId="4" applyFont="1" applyBorder="1"/>
    <xf numFmtId="10" fontId="31" fillId="0" borderId="49" xfId="4" applyNumberFormat="1" applyFont="1" applyBorder="1" applyAlignment="1">
      <alignment horizontal="right"/>
    </xf>
    <xf numFmtId="3" fontId="32" fillId="0" borderId="49" xfId="4" applyNumberFormat="1" applyFont="1" applyBorder="1"/>
    <xf numFmtId="0" fontId="31" fillId="0" borderId="0" xfId="4" applyFont="1"/>
    <xf numFmtId="0" fontId="31" fillId="0" borderId="0" xfId="4" applyFont="1" applyFill="1" applyBorder="1"/>
    <xf numFmtId="4" fontId="31" fillId="0" borderId="49" xfId="4" applyNumberFormat="1" applyFont="1" applyBorder="1" applyAlignment="1">
      <alignment horizontal="right"/>
    </xf>
    <xf numFmtId="10" fontId="31" fillId="0" borderId="55" xfId="4" applyNumberFormat="1" applyFont="1" applyBorder="1" applyAlignment="1">
      <alignment horizontal="right"/>
    </xf>
    <xf numFmtId="10" fontId="31" fillId="0" borderId="57" xfId="4" applyNumberFormat="1" applyFont="1" applyBorder="1" applyAlignment="1">
      <alignment horizontal="right"/>
    </xf>
    <xf numFmtId="10" fontId="31" fillId="0" borderId="59" xfId="4" applyNumberFormat="1" applyFont="1" applyBorder="1" applyAlignment="1">
      <alignment horizontal="right"/>
    </xf>
    <xf numFmtId="10" fontId="31" fillId="8" borderId="57" xfId="4" applyNumberFormat="1" applyFont="1" applyFill="1" applyBorder="1" applyAlignment="1">
      <alignment horizontal="right"/>
    </xf>
    <xf numFmtId="4" fontId="31" fillId="0" borderId="0" xfId="4" applyNumberFormat="1" applyFont="1"/>
    <xf numFmtId="0" fontId="31" fillId="0" borderId="10" xfId="4" applyFont="1" applyBorder="1"/>
    <xf numFmtId="4" fontId="31" fillId="0" borderId="10" xfId="4" applyNumberFormat="1" applyFont="1" applyBorder="1"/>
    <xf numFmtId="0" fontId="31" fillId="0" borderId="4" xfId="4" applyFont="1" applyBorder="1"/>
    <xf numFmtId="4" fontId="31" fillId="0" borderId="4" xfId="4" applyNumberFormat="1" applyFont="1" applyBorder="1"/>
    <xf numFmtId="10" fontId="31" fillId="0" borderId="0" xfId="4" applyNumberFormat="1" applyFont="1" applyBorder="1"/>
    <xf numFmtId="10" fontId="31" fillId="0" borderId="49" xfId="4" applyNumberFormat="1" applyFont="1" applyBorder="1"/>
    <xf numFmtId="0" fontId="31" fillId="9" borderId="49" xfId="4" applyFont="1" applyFill="1" applyBorder="1" applyAlignment="1">
      <alignment horizontal="center" vertical="center" wrapText="1"/>
    </xf>
    <xf numFmtId="0" fontId="31" fillId="9" borderId="56" xfId="4" applyFont="1" applyFill="1" applyBorder="1" applyAlignment="1">
      <alignment wrapText="1"/>
    </xf>
    <xf numFmtId="0" fontId="31" fillId="9" borderId="56" xfId="4" applyFont="1" applyFill="1" applyBorder="1" applyAlignment="1">
      <alignment horizontal="center" vertical="center" wrapText="1"/>
    </xf>
    <xf numFmtId="0" fontId="31" fillId="9" borderId="21" xfId="4" applyFont="1" applyFill="1" applyBorder="1" applyAlignment="1">
      <alignment horizontal="center" vertical="center" wrapText="1"/>
    </xf>
    <xf numFmtId="167" fontId="31" fillId="0" borderId="55" xfId="4" applyNumberFormat="1" applyFont="1" applyBorder="1" applyAlignment="1">
      <alignment horizontal="right"/>
    </xf>
    <xf numFmtId="4" fontId="31" fillId="0" borderId="57" xfId="4" applyNumberFormat="1" applyFont="1" applyBorder="1"/>
    <xf numFmtId="4" fontId="31" fillId="0" borderId="0" xfId="4" applyNumberFormat="1" applyFont="1" applyBorder="1"/>
    <xf numFmtId="4" fontId="31" fillId="0" borderId="55" xfId="4" applyNumberFormat="1" applyFont="1" applyBorder="1"/>
    <xf numFmtId="4" fontId="31" fillId="0" borderId="30" xfId="4" applyNumberFormat="1" applyFont="1" applyBorder="1"/>
    <xf numFmtId="167" fontId="31" fillId="0" borderId="57" xfId="4" applyNumberFormat="1" applyFont="1" applyBorder="1" applyAlignment="1">
      <alignment horizontal="right"/>
    </xf>
    <xf numFmtId="167" fontId="31" fillId="0" borderId="59" xfId="4" applyNumberFormat="1" applyFont="1" applyBorder="1" applyAlignment="1">
      <alignment horizontal="right"/>
    </xf>
    <xf numFmtId="4" fontId="31" fillId="0" borderId="59" xfId="4" applyNumberFormat="1" applyFont="1" applyBorder="1"/>
    <xf numFmtId="167" fontId="31" fillId="0" borderId="49" xfId="4" applyNumberFormat="1" applyFont="1" applyBorder="1" applyAlignment="1">
      <alignment horizontal="right"/>
    </xf>
    <xf numFmtId="4" fontId="32" fillId="0" borderId="49" xfId="4" applyNumberFormat="1" applyFont="1" applyBorder="1"/>
    <xf numFmtId="0" fontId="29" fillId="9" borderId="4" xfId="4" applyFont="1" applyFill="1" applyBorder="1"/>
    <xf numFmtId="4" fontId="29" fillId="9" borderId="4" xfId="4" applyNumberFormat="1" applyFont="1" applyFill="1" applyBorder="1"/>
    <xf numFmtId="167" fontId="31" fillId="8" borderId="57" xfId="4" applyNumberFormat="1" applyFont="1" applyFill="1" applyBorder="1" applyAlignment="1">
      <alignment horizontal="right"/>
    </xf>
    <xf numFmtId="4" fontId="30" fillId="9" borderId="0" xfId="4" applyNumberFormat="1" applyFont="1" applyFill="1"/>
    <xf numFmtId="167" fontId="44" fillId="0" borderId="4" xfId="4" applyNumberFormat="1" applyFont="1" applyBorder="1" applyAlignment="1">
      <alignment horizontal="right" vertical="center"/>
    </xf>
    <xf numFmtId="4" fontId="30" fillId="0" borderId="4" xfId="4" applyNumberFormat="1" applyFont="1" applyBorder="1"/>
    <xf numFmtId="3" fontId="31" fillId="0" borderId="49" xfId="4" applyNumberFormat="1" applyFont="1" applyBorder="1"/>
    <xf numFmtId="0" fontId="44" fillId="0" borderId="0" xfId="4" applyFont="1"/>
    <xf numFmtId="9" fontId="44" fillId="0" borderId="0" xfId="4" applyNumberFormat="1" applyFont="1"/>
    <xf numFmtId="0" fontId="31" fillId="0" borderId="56" xfId="4" applyFont="1" applyBorder="1" applyAlignment="1">
      <alignment horizontal="center" wrapText="1"/>
    </xf>
    <xf numFmtId="9" fontId="27" fillId="0" borderId="0" xfId="4" applyNumberFormat="1"/>
    <xf numFmtId="167" fontId="31" fillId="0" borderId="49" xfId="4" applyNumberFormat="1" applyFont="1" applyBorder="1"/>
    <xf numFmtId="0" fontId="29" fillId="0" borderId="13" xfId="4" applyFont="1" applyBorder="1"/>
    <xf numFmtId="0" fontId="29" fillId="0" borderId="14" xfId="4" applyFont="1" applyBorder="1"/>
    <xf numFmtId="4" fontId="32" fillId="0" borderId="58" xfId="4" applyNumberFormat="1" applyFont="1" applyBorder="1"/>
    <xf numFmtId="0" fontId="29" fillId="0" borderId="23" xfId="4" applyFont="1" applyBorder="1"/>
    <xf numFmtId="0" fontId="29" fillId="0" borderId="0" xfId="4" applyFont="1" applyBorder="1"/>
    <xf numFmtId="4" fontId="32" fillId="0" borderId="0" xfId="4" applyNumberFormat="1" applyFont="1" applyBorder="1"/>
    <xf numFmtId="4" fontId="32" fillId="0" borderId="30" xfId="4" applyNumberFormat="1" applyFont="1" applyBorder="1"/>
    <xf numFmtId="0" fontId="29" fillId="0" borderId="31" xfId="4" applyFont="1" applyBorder="1"/>
    <xf numFmtId="0" fontId="29" fillId="0" borderId="22" xfId="4" applyFont="1" applyBorder="1"/>
    <xf numFmtId="4" fontId="32" fillId="0" borderId="22" xfId="4" applyNumberFormat="1" applyFont="1" applyBorder="1"/>
    <xf numFmtId="4" fontId="32" fillId="0" borderId="40" xfId="4" applyNumberFormat="1" applyFont="1" applyBorder="1"/>
    <xf numFmtId="4" fontId="27" fillId="0" borderId="0" xfId="2" applyNumberFormat="1"/>
    <xf numFmtId="0" fontId="3" fillId="0" borderId="79" xfId="0" applyFont="1" applyFill="1" applyBorder="1" applyAlignment="1">
      <alignment horizontal="center" vertical="center" wrapText="1"/>
    </xf>
    <xf numFmtId="0" fontId="3" fillId="0" borderId="31" xfId="0" applyFont="1" applyFill="1" applyBorder="1" applyAlignment="1">
      <alignment horizontal="center"/>
    </xf>
    <xf numFmtId="167" fontId="7" fillId="0" borderId="53" xfId="0" applyNumberFormat="1" applyFont="1" applyFill="1" applyBorder="1"/>
    <xf numFmtId="167" fontId="7" fillId="0" borderId="11" xfId="0" applyNumberFormat="1" applyFont="1" applyFill="1" applyBorder="1" applyAlignment="1"/>
    <xf numFmtId="174" fontId="0" fillId="0" borderId="0" xfId="0" applyNumberFormat="1"/>
    <xf numFmtId="165" fontId="10" fillId="0" borderId="53" xfId="0" applyNumberFormat="1" applyFont="1" applyFill="1" applyBorder="1"/>
    <xf numFmtId="3" fontId="7" fillId="0" borderId="76" xfId="0" applyNumberFormat="1" applyFont="1" applyFill="1" applyBorder="1" applyAlignment="1"/>
    <xf numFmtId="3" fontId="7" fillId="0" borderId="47" xfId="0" applyNumberFormat="1" applyFont="1" applyFill="1" applyBorder="1" applyAlignment="1"/>
    <xf numFmtId="3" fontId="7" fillId="0" borderId="64" xfId="0" applyNumberFormat="1" applyFont="1" applyFill="1" applyBorder="1" applyAlignment="1"/>
    <xf numFmtId="0" fontId="6" fillId="0" borderId="28" xfId="0" applyFont="1" applyFill="1" applyBorder="1" applyAlignment="1">
      <alignment horizontal="center"/>
    </xf>
    <xf numFmtId="0" fontId="3" fillId="0" borderId="0" xfId="0" applyFont="1" applyAlignment="1">
      <alignment horizontal="center"/>
    </xf>
    <xf numFmtId="0" fontId="3" fillId="0" borderId="0" xfId="0" applyFont="1" applyAlignment="1">
      <alignment horizontal="center" vertical="justify"/>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distributed"/>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0" fillId="0" borderId="4" xfId="0" applyFont="1" applyBorder="1" applyAlignment="1">
      <alignment horizontal="center" vertical="distributed"/>
    </xf>
    <xf numFmtId="0" fontId="6" fillId="0" borderId="4" xfId="0" applyFont="1" applyBorder="1" applyAlignment="1">
      <alignment horizont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19" fillId="0" borderId="0" xfId="0" applyFont="1" applyAlignment="1">
      <alignment horizontal="center" vertical="justify"/>
    </xf>
    <xf numFmtId="0" fontId="9"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4" xfId="0" applyBorder="1" applyAlignment="1">
      <alignment vertical="center" wrapText="1"/>
    </xf>
    <xf numFmtId="2" fontId="6" fillId="0" borderId="4" xfId="0" applyNumberFormat="1" applyFont="1" applyBorder="1" applyAlignment="1">
      <alignment horizontal="center" wrapText="1"/>
    </xf>
    <xf numFmtId="0" fontId="0" fillId="0" borderId="32" xfId="0" applyBorder="1" applyAlignment="1">
      <alignment vertical="center" wrapText="1"/>
    </xf>
    <xf numFmtId="4" fontId="6"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6" fillId="0" borderId="0" xfId="0" applyFont="1" applyAlignment="1">
      <alignment horizont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9" fillId="0" borderId="18" xfId="0" applyFont="1" applyBorder="1" applyAlignment="1">
      <alignment horizontal="center" vertical="center" wrapText="1"/>
    </xf>
    <xf numFmtId="0" fontId="7" fillId="0" borderId="7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165" fontId="16" fillId="0" borderId="0" xfId="0" applyNumberFormat="1" applyFont="1" applyAlignment="1">
      <alignment horizontal="left" vertical="center" wrapText="1"/>
    </xf>
    <xf numFmtId="0" fontId="16" fillId="0" borderId="0" xfId="0" applyFont="1" applyFill="1" applyAlignment="1">
      <alignment horizontal="left" wrapText="1"/>
    </xf>
    <xf numFmtId="0" fontId="16" fillId="0" borderId="14" xfId="0" applyFont="1" applyFill="1" applyBorder="1" applyAlignment="1">
      <alignment horizontal="left"/>
    </xf>
    <xf numFmtId="0" fontId="16" fillId="0" borderId="0" xfId="0" applyFont="1" applyAlignment="1">
      <alignment horizontal="left" vertical="center" wrapText="1"/>
    </xf>
    <xf numFmtId="0" fontId="0" fillId="0" borderId="3" xfId="0" applyBorder="1" applyAlignment="1">
      <alignment horizontal="center" vertical="center" wrapText="1"/>
    </xf>
    <xf numFmtId="0" fontId="8" fillId="0" borderId="5" xfId="0" applyFont="1" applyFill="1" applyBorder="1" applyAlignment="1">
      <alignment horizontal="center" vertical="center" wrapText="1"/>
    </xf>
    <xf numFmtId="0" fontId="13"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4" fontId="8" fillId="0" borderId="5" xfId="0" applyNumberFormat="1" applyFont="1" applyFill="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2" fontId="8" fillId="0" borderId="24" xfId="0" applyNumberFormat="1" applyFont="1" applyFill="1" applyBorder="1" applyAlignment="1">
      <alignment horizontal="center" vertical="center" wrapText="1"/>
    </xf>
    <xf numFmtId="2" fontId="8" fillId="0" borderId="5" xfId="0" applyNumberFormat="1" applyFont="1" applyFill="1" applyBorder="1" applyAlignment="1">
      <alignment horizontal="center" vertical="center" wrapText="1"/>
    </xf>
    <xf numFmtId="2" fontId="8" fillId="0" borderId="43" xfId="0" applyNumberFormat="1" applyFont="1" applyFill="1" applyBorder="1" applyAlignment="1">
      <alignment horizontal="center" vertical="center" wrapText="1"/>
    </xf>
    <xf numFmtId="2" fontId="8" fillId="0" borderId="10"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7" xfId="0" applyFont="1" applyFill="1" applyBorder="1" applyAlignment="1">
      <alignment horizontal="center" vertical="center" wrapText="1"/>
    </xf>
    <xf numFmtId="0" fontId="38" fillId="0" borderId="0" xfId="0" applyFont="1" applyAlignment="1">
      <alignment horizontal="left" vertical="center" wrapText="1"/>
    </xf>
    <xf numFmtId="165" fontId="39" fillId="0" borderId="0" xfId="0" applyNumberFormat="1" applyFont="1" applyAlignment="1">
      <alignment horizontal="left" vertical="center" wrapText="1"/>
    </xf>
    <xf numFmtId="165" fontId="38" fillId="0" borderId="0" xfId="0" applyNumberFormat="1" applyFont="1" applyAlignment="1">
      <alignment horizontal="left"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10"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5" xfId="0" applyFont="1" applyBorder="1" applyAlignment="1">
      <alignment horizont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vertical="justify"/>
    </xf>
    <xf numFmtId="0" fontId="6" fillId="0" borderId="28" xfId="0" applyFont="1" applyBorder="1" applyAlignment="1">
      <alignment horizontal="center" vertical="justify"/>
    </xf>
    <xf numFmtId="0" fontId="6" fillId="0" borderId="43" xfId="0" applyFont="1" applyBorder="1" applyAlignment="1">
      <alignment horizontal="center" vertical="justify"/>
    </xf>
    <xf numFmtId="0" fontId="6" fillId="0" borderId="25" xfId="0" applyFont="1" applyBorder="1" applyAlignment="1">
      <alignment horizontal="center" vertical="justify"/>
    </xf>
    <xf numFmtId="0" fontId="6" fillId="0" borderId="29" xfId="0" applyFont="1" applyBorder="1" applyAlignment="1">
      <alignment horizontal="center" vertical="justify"/>
    </xf>
    <xf numFmtId="0" fontId="6" fillId="0" borderId="44" xfId="0" applyFont="1" applyBorder="1" applyAlignment="1">
      <alignment horizontal="center" vertical="justify"/>
    </xf>
    <xf numFmtId="0" fontId="6" fillId="0" borderId="20" xfId="0" applyFont="1" applyBorder="1" applyAlignment="1">
      <alignment horizontal="left"/>
    </xf>
    <xf numFmtId="0" fontId="6" fillId="0" borderId="21" xfId="0" applyFont="1" applyBorder="1" applyAlignment="1">
      <alignment horizontal="left"/>
    </xf>
    <xf numFmtId="0" fontId="16" fillId="0" borderId="14" xfId="0" applyFont="1" applyBorder="1" applyAlignment="1">
      <alignment horizontal="left" vertical="center"/>
    </xf>
    <xf numFmtId="0" fontId="16" fillId="0" borderId="0" xfId="0" applyFont="1" applyAlignment="1">
      <alignment horizontal="left" vertical="justify"/>
    </xf>
    <xf numFmtId="0" fontId="6" fillId="0" borderId="0" xfId="0" applyFont="1" applyAlignment="1">
      <alignment horizontal="center" vertical="center"/>
    </xf>
    <xf numFmtId="0" fontId="19" fillId="0" borderId="0" xfId="0" applyFont="1" applyBorder="1" applyAlignment="1">
      <alignment horizontal="center" vertical="center"/>
    </xf>
    <xf numFmtId="0" fontId="6" fillId="0" borderId="55" xfId="0" applyFont="1" applyBorder="1" applyAlignment="1">
      <alignment horizontal="center" vertical="center" textRotation="90"/>
    </xf>
    <xf numFmtId="0" fontId="6" fillId="0" borderId="57" xfId="0" applyFont="1" applyBorder="1" applyAlignment="1">
      <alignment horizontal="center" vertical="center" textRotation="90"/>
    </xf>
    <xf numFmtId="0" fontId="6" fillId="0" borderId="59" xfId="0" applyFont="1" applyBorder="1" applyAlignment="1">
      <alignment horizontal="center" vertical="center" textRotation="90"/>
    </xf>
    <xf numFmtId="2" fontId="6" fillId="0" borderId="66" xfId="0" applyNumberFormat="1" applyFont="1" applyBorder="1" applyAlignment="1">
      <alignment horizontal="center" vertical="justify"/>
    </xf>
    <xf numFmtId="2" fontId="6" fillId="0" borderId="29" xfId="0" applyNumberFormat="1" applyFont="1" applyBorder="1" applyAlignment="1">
      <alignment horizontal="center" vertical="justify"/>
    </xf>
    <xf numFmtId="2" fontId="6" fillId="0" borderId="44" xfId="0" applyNumberFormat="1" applyFont="1" applyBorder="1" applyAlignment="1">
      <alignment horizontal="center" vertical="justify"/>
    </xf>
    <xf numFmtId="1" fontId="6" fillId="0" borderId="77" xfId="0" applyNumberFormat="1" applyFont="1" applyBorder="1" applyAlignment="1">
      <alignment horizontal="center"/>
    </xf>
    <xf numFmtId="1" fontId="6" fillId="0" borderId="11" xfId="0" applyNumberFormat="1" applyFont="1" applyBorder="1" applyAlignment="1">
      <alignment horizontal="center"/>
    </xf>
    <xf numFmtId="0" fontId="6" fillId="0" borderId="77" xfId="0" applyFont="1" applyBorder="1" applyAlignment="1">
      <alignment horizontal="center"/>
    </xf>
    <xf numFmtId="0" fontId="6" fillId="0" borderId="12" xfId="0" applyFont="1" applyBorder="1" applyAlignment="1">
      <alignment horizontal="center"/>
    </xf>
    <xf numFmtId="0" fontId="6" fillId="0" borderId="25" xfId="0" applyFont="1" applyFill="1" applyBorder="1" applyAlignment="1">
      <alignment horizontal="center" wrapText="1"/>
    </xf>
    <xf numFmtId="0" fontId="6" fillId="0" borderId="29" xfId="0" applyFont="1" applyFill="1" applyBorder="1" applyAlignment="1">
      <alignment horizontal="center" wrapText="1"/>
    </xf>
    <xf numFmtId="0" fontId="6" fillId="0" borderId="44" xfId="0" applyFont="1" applyFill="1" applyBorder="1" applyAlignment="1">
      <alignment horizontal="center" wrapText="1"/>
    </xf>
    <xf numFmtId="0" fontId="9" fillId="0" borderId="55" xfId="0" applyFont="1" applyFill="1" applyBorder="1" applyAlignment="1">
      <alignment horizontal="center" vertical="distributed"/>
    </xf>
    <xf numFmtId="0" fontId="9" fillId="0" borderId="57" xfId="0" applyFont="1" applyFill="1" applyBorder="1" applyAlignment="1">
      <alignment horizontal="center" vertical="distributed"/>
    </xf>
    <xf numFmtId="0" fontId="5" fillId="0" borderId="0" xfId="0" applyFont="1" applyFill="1" applyBorder="1" applyAlignment="1">
      <alignment horizontal="center"/>
    </xf>
    <xf numFmtId="0" fontId="6" fillId="0" borderId="0" xfId="0" applyFont="1" applyFill="1" applyBorder="1" applyAlignment="1">
      <alignment horizontal="center" wrapText="1"/>
    </xf>
    <xf numFmtId="0" fontId="0" fillId="0" borderId="0" xfId="0" applyAlignment="1">
      <alignment horizontal="justify" vertical="justify" wrapText="1"/>
    </xf>
    <xf numFmtId="0" fontId="0" fillId="0" borderId="0" xfId="0" applyFill="1" applyAlignment="1">
      <alignment horizontal="left" vertical="center" wrapText="1"/>
    </xf>
    <xf numFmtId="0" fontId="17" fillId="0" borderId="0" xfId="0" applyFont="1" applyFill="1" applyAlignment="1">
      <alignment horizontal="left" vertical="center" wrapText="1"/>
    </xf>
    <xf numFmtId="0" fontId="9" fillId="0" borderId="1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55" xfId="0" applyFont="1" applyBorder="1" applyAlignment="1">
      <alignment horizontal="center" vertical="distributed"/>
    </xf>
    <xf numFmtId="0" fontId="9" fillId="0" borderId="57" xfId="0" applyFont="1" applyBorder="1" applyAlignment="1">
      <alignment horizontal="center" vertical="distributed"/>
    </xf>
    <xf numFmtId="0" fontId="9" fillId="0" borderId="55" xfId="0" applyFont="1" applyFill="1" applyBorder="1" applyAlignment="1">
      <alignment horizontal="center" vertical="distributed" wrapText="1"/>
    </xf>
    <xf numFmtId="0" fontId="9" fillId="0" borderId="57" xfId="0" applyFont="1" applyFill="1" applyBorder="1" applyAlignment="1">
      <alignment horizontal="center" vertical="distributed" wrapText="1"/>
    </xf>
    <xf numFmtId="0" fontId="9" fillId="0" borderId="56" xfId="0" applyFont="1" applyFill="1" applyBorder="1" applyAlignment="1">
      <alignment horizontal="center" wrapText="1"/>
    </xf>
    <xf numFmtId="0" fontId="9" fillId="0" borderId="21" xfId="0" applyFont="1" applyFill="1" applyBorder="1" applyAlignment="1">
      <alignment horizontal="center" wrapText="1"/>
    </xf>
    <xf numFmtId="0" fontId="9" fillId="0" borderId="20" xfId="0" applyFont="1" applyFill="1" applyBorder="1" applyAlignment="1">
      <alignment horizontal="center" wrapText="1"/>
    </xf>
    <xf numFmtId="0" fontId="8" fillId="0" borderId="55" xfId="0" applyFont="1" applyFill="1" applyBorder="1" applyAlignment="1">
      <alignment horizontal="center" vertical="distributed"/>
    </xf>
    <xf numFmtId="0" fontId="8" fillId="0" borderId="57" xfId="0" applyFont="1" applyFill="1" applyBorder="1" applyAlignment="1">
      <alignment horizontal="center" vertical="distributed"/>
    </xf>
    <xf numFmtId="0" fontId="12" fillId="0" borderId="55" xfId="0" applyFont="1" applyFill="1" applyBorder="1" applyAlignment="1">
      <alignment horizontal="center" vertical="distributed"/>
    </xf>
    <xf numFmtId="0" fontId="12" fillId="0" borderId="57" xfId="0" applyFont="1" applyFill="1" applyBorder="1" applyAlignment="1">
      <alignment horizontal="center" vertical="distributed"/>
    </xf>
    <xf numFmtId="165" fontId="35" fillId="0" borderId="0" xfId="0" applyNumberFormat="1" applyFont="1" applyAlignment="1">
      <alignment horizontal="left" vertical="center" wrapText="1"/>
    </xf>
    <xf numFmtId="0" fontId="6" fillId="0" borderId="0" xfId="0" applyFont="1" applyBorder="1" applyAlignment="1">
      <alignment horizontal="center" vertical="justify"/>
    </xf>
    <xf numFmtId="0" fontId="6" fillId="0" borderId="70"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71" xfId="0" applyFont="1" applyBorder="1" applyAlignment="1">
      <alignment horizontal="center" vertical="justify"/>
    </xf>
    <xf numFmtId="0" fontId="6" fillId="0" borderId="8" xfId="0" applyFont="1" applyBorder="1" applyAlignment="1">
      <alignment horizontal="center" vertical="justify"/>
    </xf>
    <xf numFmtId="0" fontId="2" fillId="0" borderId="0" xfId="0" applyFont="1" applyBorder="1" applyAlignment="1">
      <alignment horizontal="center"/>
    </xf>
    <xf numFmtId="0" fontId="6" fillId="0" borderId="71" xfId="0" applyFont="1" applyBorder="1" applyAlignment="1">
      <alignment horizontal="center" vertical="justify" wrapText="1"/>
    </xf>
    <xf numFmtId="0" fontId="6" fillId="0" borderId="8" xfId="0" applyFont="1" applyBorder="1" applyAlignment="1">
      <alignment horizontal="center" vertical="justify" wrapText="1"/>
    </xf>
    <xf numFmtId="0" fontId="6" fillId="0" borderId="71" xfId="0" applyFont="1" applyFill="1" applyBorder="1" applyAlignment="1">
      <alignment horizontal="center" vertical="justify"/>
    </xf>
    <xf numFmtId="0" fontId="6" fillId="0" borderId="8" xfId="0" applyFont="1" applyFill="1" applyBorder="1" applyAlignment="1">
      <alignment horizontal="center" vertical="justify"/>
    </xf>
    <xf numFmtId="0" fontId="6" fillId="0" borderId="66" xfId="0" applyFont="1" applyFill="1" applyBorder="1" applyAlignment="1">
      <alignment horizontal="center" vertical="justify"/>
    </xf>
    <xf numFmtId="0" fontId="6" fillId="0" borderId="29" xfId="0" applyFont="1" applyFill="1" applyBorder="1" applyAlignment="1">
      <alignment horizontal="center" vertical="justify"/>
    </xf>
    <xf numFmtId="0" fontId="19" fillId="0" borderId="0" xfId="0" applyFont="1" applyAlignment="1">
      <alignment horizontal="center"/>
    </xf>
    <xf numFmtId="0" fontId="6" fillId="0" borderId="66"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6" fillId="0" borderId="0" xfId="0" applyFont="1" applyBorder="1" applyAlignment="1">
      <alignment horizontal="left" vertical="center"/>
    </xf>
    <xf numFmtId="0" fontId="6" fillId="0" borderId="7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0" fillId="0" borderId="0" xfId="0" applyFont="1" applyAlignment="1">
      <alignment horizontal="center"/>
    </xf>
    <xf numFmtId="0" fontId="12" fillId="0" borderId="7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1" xfId="0" applyFont="1" applyFill="1" applyBorder="1" applyAlignment="1">
      <alignment horizontal="center" vertical="justify"/>
    </xf>
    <xf numFmtId="0" fontId="12" fillId="0" borderId="8" xfId="0" applyFont="1" applyFill="1" applyBorder="1" applyAlignment="1">
      <alignment horizontal="center" vertical="justify"/>
    </xf>
    <xf numFmtId="0" fontId="12" fillId="0" borderId="66" xfId="0" applyFont="1" applyFill="1" applyBorder="1" applyAlignment="1">
      <alignment horizontal="center" vertical="justify"/>
    </xf>
    <xf numFmtId="0" fontId="12" fillId="0" borderId="29" xfId="0" applyFont="1" applyFill="1" applyBorder="1" applyAlignment="1">
      <alignment horizontal="center" vertical="justify"/>
    </xf>
    <xf numFmtId="0" fontId="2" fillId="0" borderId="0" xfId="0" applyFont="1" applyAlignment="1">
      <alignment horizontal="center"/>
    </xf>
    <xf numFmtId="0" fontId="0" fillId="0" borderId="0" xfId="0" applyAlignment="1">
      <alignment horizontal="right"/>
    </xf>
    <xf numFmtId="0" fontId="35" fillId="0" borderId="0" xfId="0" applyFont="1" applyFill="1" applyBorder="1" applyAlignment="1">
      <alignment horizontal="left"/>
    </xf>
    <xf numFmtId="0" fontId="40" fillId="0" borderId="0" xfId="0" applyFont="1" applyAlignment="1">
      <alignment horizontal="left" vertical="justify"/>
    </xf>
    <xf numFmtId="0" fontId="6" fillId="0" borderId="0" xfId="0" applyFont="1" applyBorder="1" applyAlignment="1">
      <alignment horizontal="center" vertical="center" wrapText="1"/>
    </xf>
    <xf numFmtId="2" fontId="6"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49" fontId="6" fillId="0" borderId="0" xfId="0" applyNumberFormat="1" applyFont="1" applyAlignment="1">
      <alignment horizontal="center"/>
    </xf>
    <xf numFmtId="0" fontId="6" fillId="0" borderId="6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1" xfId="0" applyFont="1" applyBorder="1" applyAlignment="1">
      <alignment horizontal="center"/>
    </xf>
    <xf numFmtId="0" fontId="6" fillId="0" borderId="15"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74" xfId="0" applyFont="1" applyFill="1" applyBorder="1" applyAlignment="1">
      <alignment horizontal="center"/>
    </xf>
    <xf numFmtId="0" fontId="6" fillId="0" borderId="75" xfId="0" applyFont="1" applyFill="1" applyBorder="1" applyAlignment="1">
      <alignment horizontal="center"/>
    </xf>
    <xf numFmtId="0" fontId="6" fillId="0" borderId="19" xfId="0" applyFont="1" applyFill="1" applyBorder="1" applyAlignment="1">
      <alignment horizontal="center"/>
    </xf>
    <xf numFmtId="0" fontId="6" fillId="0" borderId="76" xfId="0" applyFont="1" applyFill="1" applyBorder="1" applyAlignment="1">
      <alignment horizontal="center"/>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28" fillId="0" borderId="0" xfId="2" applyFont="1" applyAlignment="1">
      <alignment horizontal="center"/>
    </xf>
    <xf numFmtId="0" fontId="29" fillId="0" borderId="0" xfId="2" applyFont="1" applyAlignment="1">
      <alignment horizontal="center"/>
    </xf>
    <xf numFmtId="0" fontId="30"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30" fillId="0" borderId="0" xfId="4" applyFont="1" applyAlignment="1">
      <alignment horizontal="center"/>
    </xf>
    <xf numFmtId="0" fontId="28" fillId="0" borderId="0" xfId="4" applyFont="1" applyAlignment="1">
      <alignment horizontal="center"/>
    </xf>
    <xf numFmtId="0" fontId="29" fillId="0" borderId="0" xfId="4" applyFont="1" applyAlignment="1">
      <alignment horizontal="center"/>
    </xf>
    <xf numFmtId="0" fontId="29" fillId="9" borderId="1" xfId="4" applyFont="1" applyFill="1" applyBorder="1" applyAlignment="1">
      <alignment horizontal="center"/>
    </xf>
    <xf numFmtId="0" fontId="29" fillId="9" borderId="3" xfId="4" applyFont="1" applyFill="1" applyBorder="1" applyAlignment="1">
      <alignment horizontal="center"/>
    </xf>
    <xf numFmtId="0" fontId="5" fillId="0" borderId="23" xfId="0" applyFont="1" applyFill="1" applyBorder="1" applyAlignment="1">
      <alignment horizontal="left"/>
    </xf>
    <xf numFmtId="0" fontId="5" fillId="0" borderId="0" xfId="0" applyFont="1" applyFill="1" applyBorder="1" applyAlignment="1">
      <alignment horizontal="left"/>
    </xf>
    <xf numFmtId="0" fontId="5" fillId="0" borderId="30" xfId="0" applyFont="1" applyFill="1" applyBorder="1" applyAlignment="1">
      <alignment horizontal="left"/>
    </xf>
    <xf numFmtId="4" fontId="5" fillId="0" borderId="23" xfId="0" applyNumberFormat="1" applyFont="1" applyFill="1" applyBorder="1" applyAlignment="1">
      <alignment horizontal="right"/>
    </xf>
    <xf numFmtId="4" fontId="5" fillId="0" borderId="0" xfId="0" applyNumberFormat="1" applyFont="1" applyFill="1" applyBorder="1" applyAlignment="1">
      <alignment horizontal="right"/>
    </xf>
    <xf numFmtId="4" fontId="5" fillId="0" borderId="30" xfId="0" applyNumberFormat="1" applyFont="1" applyFill="1" applyBorder="1" applyAlignment="1">
      <alignment horizontal="right"/>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62" xfId="0" applyFont="1" applyBorder="1" applyAlignment="1">
      <alignment horizontal="center"/>
    </xf>
    <xf numFmtId="0" fontId="6" fillId="0" borderId="68" xfId="0" applyFont="1" applyBorder="1" applyAlignment="1">
      <alignment horizontal="center"/>
    </xf>
    <xf numFmtId="0" fontId="6" fillId="0" borderId="65" xfId="0" applyFont="1" applyBorder="1" applyAlignment="1">
      <alignment horizontal="center"/>
    </xf>
    <xf numFmtId="0" fontId="6" fillId="0" borderId="23" xfId="0" applyFont="1" applyFill="1" applyBorder="1" applyAlignment="1">
      <alignment horizontal="left"/>
    </xf>
    <xf numFmtId="0" fontId="6" fillId="0" borderId="0" xfId="0" applyFont="1" applyFill="1" applyBorder="1" applyAlignment="1">
      <alignment horizontal="left"/>
    </xf>
    <xf numFmtId="0" fontId="6" fillId="0" borderId="30" xfId="0" applyFont="1" applyFill="1" applyBorder="1" applyAlignment="1">
      <alignment horizontal="left"/>
    </xf>
    <xf numFmtId="0" fontId="6" fillId="7" borderId="20" xfId="0" applyFont="1" applyFill="1" applyBorder="1" applyAlignment="1">
      <alignment horizontal="left"/>
    </xf>
    <xf numFmtId="0" fontId="6" fillId="7" borderId="56" xfId="0" applyFont="1" applyFill="1" applyBorder="1" applyAlignment="1">
      <alignment horizontal="left"/>
    </xf>
    <xf numFmtId="0" fontId="6" fillId="7" borderId="21" xfId="0" applyFont="1" applyFill="1" applyBorder="1" applyAlignment="1">
      <alignment horizontal="left"/>
    </xf>
    <xf numFmtId="4" fontId="6" fillId="7" borderId="20" xfId="0" applyNumberFormat="1" applyFont="1" applyFill="1" applyBorder="1" applyAlignment="1">
      <alignment horizontal="right"/>
    </xf>
    <xf numFmtId="4" fontId="6" fillId="7" borderId="56" xfId="0" applyNumberFormat="1" applyFont="1" applyFill="1" applyBorder="1" applyAlignment="1">
      <alignment horizontal="right"/>
    </xf>
    <xf numFmtId="0" fontId="6" fillId="7" borderId="21" xfId="0" applyFont="1" applyFill="1" applyBorder="1" applyAlignment="1">
      <alignment horizontal="right"/>
    </xf>
    <xf numFmtId="0" fontId="5" fillId="0" borderId="23" xfId="0" applyFont="1" applyFill="1" applyBorder="1" applyAlignment="1">
      <alignment horizontal="right"/>
    </xf>
    <xf numFmtId="0" fontId="5" fillId="0" borderId="0" xfId="0" applyFont="1" applyFill="1" applyBorder="1" applyAlignment="1">
      <alignment horizontal="right"/>
    </xf>
    <xf numFmtId="0" fontId="5" fillId="0" borderId="30" xfId="0" applyFont="1" applyFill="1" applyBorder="1" applyAlignment="1">
      <alignment horizontal="right"/>
    </xf>
    <xf numFmtId="0" fontId="5" fillId="0" borderId="20" xfId="0" applyFont="1" applyFill="1" applyBorder="1" applyAlignment="1">
      <alignment horizontal="left"/>
    </xf>
    <xf numFmtId="0" fontId="5" fillId="0" borderId="56" xfId="0" applyFont="1" applyFill="1" applyBorder="1" applyAlignment="1">
      <alignment horizontal="left"/>
    </xf>
    <xf numFmtId="0" fontId="5" fillId="0" borderId="21" xfId="0" applyFont="1" applyFill="1" applyBorder="1" applyAlignment="1">
      <alignment horizontal="left"/>
    </xf>
    <xf numFmtId="4" fontId="5" fillId="0" borderId="20" xfId="0" applyNumberFormat="1" applyFont="1" applyFill="1" applyBorder="1" applyAlignment="1">
      <alignment horizontal="right"/>
    </xf>
    <xf numFmtId="4" fontId="5" fillId="0" borderId="56" xfId="0" applyNumberFormat="1" applyFont="1" applyFill="1" applyBorder="1" applyAlignment="1">
      <alignment horizontal="right"/>
    </xf>
    <xf numFmtId="4" fontId="5" fillId="0" borderId="21" xfId="0" applyNumberFormat="1" applyFont="1" applyFill="1" applyBorder="1" applyAlignment="1">
      <alignment horizontal="right"/>
    </xf>
    <xf numFmtId="0" fontId="5" fillId="0" borderId="14" xfId="0" applyFont="1" applyFill="1" applyBorder="1" applyAlignment="1">
      <alignment horizontal="left"/>
    </xf>
    <xf numFmtId="0" fontId="5" fillId="0" borderId="73" xfId="0" applyFont="1" applyFill="1" applyBorder="1" applyAlignment="1">
      <alignment horizontal="right"/>
    </xf>
    <xf numFmtId="0" fontId="5" fillId="0" borderId="14" xfId="0" applyFont="1" applyFill="1" applyBorder="1" applyAlignment="1">
      <alignment horizontal="right"/>
    </xf>
    <xf numFmtId="0" fontId="5" fillId="0" borderId="58" xfId="0" applyFont="1" applyFill="1" applyBorder="1" applyAlignment="1">
      <alignment horizontal="right"/>
    </xf>
    <xf numFmtId="0" fontId="5" fillId="0" borderId="22" xfId="0" applyFont="1" applyFill="1" applyBorder="1" applyAlignment="1">
      <alignment horizontal="left"/>
    </xf>
    <xf numFmtId="0" fontId="6" fillId="7" borderId="49" xfId="0" applyFont="1" applyFill="1" applyBorder="1" applyAlignment="1">
      <alignment horizontal="left"/>
    </xf>
    <xf numFmtId="0" fontId="6" fillId="0" borderId="69" xfId="0" applyFont="1" applyFill="1" applyBorder="1" applyAlignment="1">
      <alignment horizontal="left"/>
    </xf>
    <xf numFmtId="0" fontId="6" fillId="0" borderId="9" xfId="0" applyFont="1" applyFill="1" applyBorder="1" applyAlignment="1">
      <alignment horizontal="left"/>
    </xf>
    <xf numFmtId="0" fontId="5" fillId="0" borderId="69" xfId="0" applyFont="1" applyFill="1" applyBorder="1" applyAlignment="1">
      <alignment horizontal="left"/>
    </xf>
    <xf numFmtId="0" fontId="5" fillId="0" borderId="9" xfId="0" applyFont="1" applyFill="1" applyBorder="1" applyAlignment="1">
      <alignment horizontal="left"/>
    </xf>
    <xf numFmtId="4" fontId="5" fillId="0" borderId="69" xfId="0" applyNumberFormat="1" applyFont="1" applyFill="1" applyBorder="1" applyAlignment="1">
      <alignment horizontal="right"/>
    </xf>
    <xf numFmtId="0" fontId="5" fillId="0" borderId="69" xfId="0" applyFont="1" applyFill="1" applyBorder="1" applyAlignment="1">
      <alignment horizontal="right"/>
    </xf>
    <xf numFmtId="0" fontId="5" fillId="0" borderId="39" xfId="0" applyFont="1" applyFill="1" applyBorder="1" applyAlignment="1">
      <alignment horizontal="left"/>
    </xf>
    <xf numFmtId="0" fontId="5" fillId="0" borderId="38" xfId="0" applyFont="1" applyFill="1" applyBorder="1" applyAlignment="1">
      <alignment horizontal="left"/>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2" xfId="0" applyFont="1" applyFill="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42" xfId="0" applyFont="1" applyFill="1" applyBorder="1" applyAlignment="1">
      <alignment horizontal="right"/>
    </xf>
    <xf numFmtId="0" fontId="6" fillId="0" borderId="11" xfId="0" applyFont="1" applyFill="1" applyBorder="1" applyAlignment="1">
      <alignment horizontal="right"/>
    </xf>
    <xf numFmtId="0" fontId="6" fillId="0" borderId="12" xfId="0" applyFont="1" applyFill="1" applyBorder="1" applyAlignment="1">
      <alignment horizontal="right"/>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75" xfId="0" applyFont="1" applyBorder="1" applyAlignment="1">
      <alignment horizontal="center" wrapText="1"/>
    </xf>
    <xf numFmtId="0" fontId="6" fillId="0" borderId="4" xfId="0" applyFont="1" applyBorder="1" applyAlignment="1">
      <alignment horizontal="center" wrapText="1"/>
    </xf>
    <xf numFmtId="4" fontId="5" fillId="0" borderId="4" xfId="0" applyNumberFormat="1" applyFont="1" applyBorder="1" applyAlignment="1">
      <alignment horizontal="center" vertical="center"/>
    </xf>
  </cellXfs>
  <cellStyles count="5">
    <cellStyle name="Moneda" xfId="1" builtinId="4"/>
    <cellStyle name="Normal" xfId="0" builtinId="0"/>
    <cellStyle name="Normal 2" xfId="4"/>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43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s\CP.LIBIA%20ESTRADA\Downloads\ESTIMACION%20DE%20PARTICIPACIONES%202017%20POE%20corregi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uarios\CP.LIBIA%20ESTRADA\Desktop\2020\factores%202020\formulas%20coeficiente%202020.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uarios\CP.LIBIA%20ESTRADA\Desktop\2020\PRESUPUESTO%20DOF%202020%20CALENDARIZ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row r="17">
          <cell r="E17">
            <v>0</v>
          </cell>
        </row>
        <row r="18">
          <cell r="E18">
            <v>0</v>
          </cell>
        </row>
        <row r="19">
          <cell r="E19">
            <v>0</v>
          </cell>
        </row>
        <row r="20">
          <cell r="E20">
            <v>0</v>
          </cell>
        </row>
        <row r="21">
          <cell r="E21">
            <v>0.43066263392016113</v>
          </cell>
        </row>
        <row r="22">
          <cell r="E22">
            <v>0.17504717510431025</v>
          </cell>
        </row>
        <row r="23">
          <cell r="E23">
            <v>0</v>
          </cell>
        </row>
        <row r="24">
          <cell r="E24">
            <v>0</v>
          </cell>
        </row>
        <row r="25">
          <cell r="E25">
            <v>0</v>
          </cell>
        </row>
        <row r="26">
          <cell r="E26">
            <v>19.045359133028132</v>
          </cell>
        </row>
        <row r="27">
          <cell r="E27">
            <v>0</v>
          </cell>
        </row>
        <row r="28">
          <cell r="E28">
            <v>0</v>
          </cell>
        </row>
        <row r="29">
          <cell r="E29">
            <v>0</v>
          </cell>
        </row>
        <row r="30">
          <cell r="E30">
            <v>0</v>
          </cell>
        </row>
        <row r="31">
          <cell r="E31">
            <v>63.082353885859412</v>
          </cell>
        </row>
        <row r="32">
          <cell r="E32">
            <v>0</v>
          </cell>
        </row>
        <row r="33">
          <cell r="E33">
            <v>0</v>
          </cell>
        </row>
        <row r="34">
          <cell r="E34">
            <v>17.266577172087985</v>
          </cell>
        </row>
        <row r="35">
          <cell r="E35">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yarit fed"/>
      <sheetName val="corres p entidad fed"/>
      <sheetName val="mpio fed"/>
      <sheetName val="nayarit edo"/>
      <sheetName val="mpios L.I"/>
      <sheetName val="COMPARATIVOS"/>
      <sheetName val="X22.5 2018ESTATAL"/>
      <sheetName val="X22.5 2018dof "/>
      <sheetName val="nayarit"/>
      <sheetName val="Hoja1"/>
    </sheetNames>
    <sheetDataSet>
      <sheetData sheetId="0"/>
      <sheetData sheetId="1"/>
      <sheetData sheetId="2"/>
      <sheetData sheetId="3"/>
      <sheetData sheetId="4"/>
      <sheetData sheetId="5"/>
      <sheetData sheetId="6">
        <row r="13">
          <cell r="C13">
            <v>105134829.76921614</v>
          </cell>
          <cell r="D13">
            <v>150749817.50989473</v>
          </cell>
          <cell r="E13">
            <v>117111466.93272123</v>
          </cell>
          <cell r="F13">
            <v>141315677.21949685</v>
          </cell>
          <cell r="G13">
            <v>126574292.30092089</v>
          </cell>
          <cell r="H13">
            <v>136859024.41892165</v>
          </cell>
          <cell r="I13">
            <v>122274814.99781363</v>
          </cell>
          <cell r="J13">
            <v>124109612.04056448</v>
          </cell>
          <cell r="K13">
            <v>114722701.78549145</v>
          </cell>
          <cell r="L13">
            <v>103048345.38596709</v>
          </cell>
          <cell r="M13">
            <v>112357913.83551577</v>
          </cell>
          <cell r="N13">
            <v>116699837.67847614</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53"/>
  <sheetViews>
    <sheetView workbookViewId="0">
      <selection activeCell="I15" sqref="I15"/>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770" t="s">
        <v>383</v>
      </c>
      <c r="B1" s="770"/>
      <c r="C1" s="770"/>
      <c r="D1" s="770"/>
      <c r="E1" s="770"/>
      <c r="F1" s="770"/>
      <c r="G1" s="770"/>
    </row>
    <row r="2" spans="1:18" ht="30" customHeight="1" x14ac:dyDescent="0.25">
      <c r="A2" s="771" t="s">
        <v>384</v>
      </c>
      <c r="B2" s="771"/>
      <c r="C2" s="771"/>
      <c r="D2" s="771"/>
      <c r="E2" s="771"/>
      <c r="F2" s="771"/>
      <c r="G2" s="771"/>
    </row>
    <row r="4" spans="1:18" ht="15.75" x14ac:dyDescent="0.25">
      <c r="A4" s="1"/>
      <c r="B4" s="1"/>
      <c r="C4" s="1"/>
      <c r="D4" s="1"/>
      <c r="E4" s="1"/>
    </row>
    <row r="5" spans="1:18" ht="32.25" customHeight="1" x14ac:dyDescent="0.25">
      <c r="A5" s="2"/>
      <c r="B5" s="772" t="s">
        <v>385</v>
      </c>
      <c r="C5" s="773"/>
      <c r="D5" s="773"/>
      <c r="E5" s="773"/>
      <c r="F5" s="774"/>
      <c r="N5" s="1"/>
      <c r="O5" s="1"/>
      <c r="P5" s="1"/>
      <c r="Q5" s="1"/>
      <c r="R5" s="1"/>
    </row>
    <row r="6" spans="1:18" ht="30" customHeight="1" x14ac:dyDescent="0.25">
      <c r="A6" s="2"/>
      <c r="B6" s="775" t="s">
        <v>386</v>
      </c>
      <c r="C6" s="777" t="s">
        <v>0</v>
      </c>
      <c r="D6" s="777"/>
      <c r="E6" s="777" t="s">
        <v>387</v>
      </c>
      <c r="F6" s="777"/>
      <c r="N6" s="2"/>
      <c r="O6" s="3"/>
      <c r="P6" s="3"/>
      <c r="Q6" s="3"/>
      <c r="R6" s="3"/>
    </row>
    <row r="7" spans="1:18" ht="15.75" x14ac:dyDescent="0.25">
      <c r="A7" s="4"/>
      <c r="B7" s="776"/>
      <c r="C7" s="777" t="s">
        <v>388</v>
      </c>
      <c r="D7" s="777"/>
      <c r="E7" s="777" t="s">
        <v>388</v>
      </c>
      <c r="F7" s="777"/>
      <c r="N7" s="2"/>
      <c r="O7" s="3"/>
      <c r="P7" s="3"/>
      <c r="Q7" s="3"/>
      <c r="R7" s="3"/>
    </row>
    <row r="8" spans="1:18" ht="15.75" x14ac:dyDescent="0.25">
      <c r="A8" s="4"/>
      <c r="B8" s="265" t="s">
        <v>1</v>
      </c>
      <c r="C8" s="265" t="s">
        <v>1</v>
      </c>
      <c r="D8" s="266" t="s">
        <v>213</v>
      </c>
      <c r="E8" s="265" t="s">
        <v>2</v>
      </c>
      <c r="F8" s="5" t="s">
        <v>389</v>
      </c>
      <c r="N8" s="4"/>
      <c r="O8" s="4"/>
      <c r="P8" s="7"/>
      <c r="Q8" s="4"/>
      <c r="R8" s="7"/>
    </row>
    <row r="9" spans="1:18" ht="15.75" x14ac:dyDescent="0.25">
      <c r="A9" s="4"/>
      <c r="B9" s="267" t="s">
        <v>2</v>
      </c>
      <c r="C9" s="267" t="s">
        <v>3</v>
      </c>
      <c r="D9" s="268" t="s">
        <v>390</v>
      </c>
      <c r="E9" s="267" t="s">
        <v>3</v>
      </c>
      <c r="F9" s="8" t="s">
        <v>391</v>
      </c>
      <c r="N9" s="4"/>
      <c r="O9" s="4"/>
      <c r="P9" s="7"/>
      <c r="Q9" s="4"/>
      <c r="R9" s="7"/>
    </row>
    <row r="10" spans="1:18" ht="15.75" x14ac:dyDescent="0.25">
      <c r="A10" s="4"/>
      <c r="B10" s="267" t="s">
        <v>3</v>
      </c>
      <c r="C10" s="267" t="s">
        <v>3</v>
      </c>
      <c r="D10" s="268" t="s">
        <v>213</v>
      </c>
      <c r="E10" s="267" t="s">
        <v>4</v>
      </c>
      <c r="F10" s="8" t="s">
        <v>392</v>
      </c>
      <c r="N10" s="4"/>
      <c r="O10" s="4"/>
      <c r="P10" s="7"/>
      <c r="Q10" s="4"/>
      <c r="R10" s="7"/>
    </row>
    <row r="11" spans="1:18" ht="15.75" x14ac:dyDescent="0.25">
      <c r="A11" s="4"/>
      <c r="B11" s="267" t="s">
        <v>4</v>
      </c>
      <c r="C11" s="267" t="s">
        <v>5</v>
      </c>
      <c r="D11" s="268" t="s">
        <v>393</v>
      </c>
      <c r="E11" s="267" t="s">
        <v>5</v>
      </c>
      <c r="F11" s="8" t="s">
        <v>177</v>
      </c>
      <c r="N11" s="4"/>
      <c r="O11" s="4"/>
      <c r="P11" s="7"/>
      <c r="Q11" s="4"/>
      <c r="R11" s="7"/>
    </row>
    <row r="12" spans="1:18" ht="15.75" x14ac:dyDescent="0.25">
      <c r="A12" s="4"/>
      <c r="B12" s="267" t="s">
        <v>5</v>
      </c>
      <c r="C12" s="267" t="s">
        <v>5</v>
      </c>
      <c r="D12" s="268" t="s">
        <v>394</v>
      </c>
      <c r="E12" s="267" t="s">
        <v>6</v>
      </c>
      <c r="F12" s="8" t="s">
        <v>393</v>
      </c>
      <c r="N12" s="4"/>
      <c r="O12" s="4"/>
      <c r="P12" s="7"/>
      <c r="Q12" s="4"/>
      <c r="R12" s="7"/>
    </row>
    <row r="13" spans="1:18" ht="15.75" x14ac:dyDescent="0.25">
      <c r="A13" s="4"/>
      <c r="B13" s="267" t="s">
        <v>6</v>
      </c>
      <c r="C13" s="267" t="s">
        <v>7</v>
      </c>
      <c r="D13" s="268" t="s">
        <v>395</v>
      </c>
      <c r="E13" s="267" t="s">
        <v>7</v>
      </c>
      <c r="F13" s="8" t="s">
        <v>392</v>
      </c>
      <c r="N13" s="4"/>
      <c r="O13" s="4"/>
      <c r="P13" s="7"/>
      <c r="Q13" s="4"/>
      <c r="R13" s="7"/>
    </row>
    <row r="14" spans="1:18" ht="15.75" x14ac:dyDescent="0.25">
      <c r="A14" s="4"/>
      <c r="B14" s="267" t="s">
        <v>7</v>
      </c>
      <c r="C14" s="267" t="s">
        <v>7</v>
      </c>
      <c r="D14" s="268" t="s">
        <v>213</v>
      </c>
      <c r="E14" s="267" t="s">
        <v>8</v>
      </c>
      <c r="F14" s="8" t="s">
        <v>392</v>
      </c>
      <c r="N14" s="4"/>
      <c r="O14" s="4"/>
      <c r="P14" s="7"/>
      <c r="Q14" s="4"/>
      <c r="R14" s="7"/>
    </row>
    <row r="15" spans="1:18" ht="15.75" x14ac:dyDescent="0.25">
      <c r="A15" s="4"/>
      <c r="B15" s="267" t="s">
        <v>8</v>
      </c>
      <c r="C15" s="267" t="s">
        <v>8</v>
      </c>
      <c r="D15" s="268" t="s">
        <v>213</v>
      </c>
      <c r="E15" s="267" t="s">
        <v>9</v>
      </c>
      <c r="F15" s="8" t="s">
        <v>393</v>
      </c>
      <c r="N15" s="4"/>
      <c r="O15" s="4"/>
      <c r="P15" s="7"/>
      <c r="Q15" s="4"/>
      <c r="R15" s="7"/>
    </row>
    <row r="16" spans="1:18" ht="15.75" x14ac:dyDescent="0.25">
      <c r="A16" s="4"/>
      <c r="B16" s="267" t="s">
        <v>9</v>
      </c>
      <c r="C16" s="267" t="s">
        <v>10</v>
      </c>
      <c r="D16" s="268" t="s">
        <v>395</v>
      </c>
      <c r="E16" s="267" t="s">
        <v>10</v>
      </c>
      <c r="F16" s="8" t="s">
        <v>392</v>
      </c>
      <c r="N16" s="4"/>
      <c r="O16" s="4"/>
      <c r="P16" s="7"/>
      <c r="Q16" s="4"/>
      <c r="R16" s="7"/>
    </row>
    <row r="17" spans="1:18" ht="15.75" x14ac:dyDescent="0.25">
      <c r="A17" s="4"/>
      <c r="B17" s="267" t="s">
        <v>10</v>
      </c>
      <c r="C17" s="267" t="s">
        <v>10</v>
      </c>
      <c r="D17" s="268" t="s">
        <v>396</v>
      </c>
      <c r="E17" s="267" t="s">
        <v>11</v>
      </c>
      <c r="F17" s="8" t="s">
        <v>392</v>
      </c>
      <c r="N17" s="4"/>
      <c r="O17" s="4"/>
      <c r="P17" s="7"/>
      <c r="Q17" s="4"/>
      <c r="R17" s="7"/>
    </row>
    <row r="18" spans="1:18" ht="15.75" x14ac:dyDescent="0.25">
      <c r="A18" s="4"/>
      <c r="B18" s="267" t="s">
        <v>11</v>
      </c>
      <c r="C18" s="267" t="s">
        <v>12</v>
      </c>
      <c r="D18" s="268" t="s">
        <v>395</v>
      </c>
      <c r="E18" s="267" t="s">
        <v>12</v>
      </c>
      <c r="F18" s="8" t="s">
        <v>393</v>
      </c>
      <c r="N18" s="4"/>
      <c r="O18" s="4"/>
      <c r="P18" s="7"/>
      <c r="Q18" s="4"/>
      <c r="R18" s="7"/>
    </row>
    <row r="19" spans="1:18" ht="15.75" x14ac:dyDescent="0.25">
      <c r="B19" s="269" t="s">
        <v>12</v>
      </c>
      <c r="C19" s="406" t="s">
        <v>397</v>
      </c>
      <c r="D19" s="270" t="s">
        <v>393</v>
      </c>
      <c r="E19" s="406" t="s">
        <v>397</v>
      </c>
      <c r="F19" s="9" t="s">
        <v>389</v>
      </c>
      <c r="N19" s="4"/>
      <c r="O19" s="10"/>
      <c r="P19" s="7"/>
      <c r="Q19" s="10"/>
      <c r="R19" s="7"/>
    </row>
    <row r="20" spans="1:18" ht="15.75" x14ac:dyDescent="0.25">
      <c r="B20" s="4"/>
      <c r="C20" s="10"/>
      <c r="D20" s="7"/>
      <c r="E20" s="10"/>
      <c r="F20" s="7"/>
      <c r="N20" s="4"/>
      <c r="O20" s="10"/>
      <c r="P20" s="7"/>
      <c r="Q20" s="10"/>
      <c r="R20" s="7"/>
    </row>
    <row r="22" spans="1:18" ht="15.75" x14ac:dyDescent="0.25">
      <c r="A22" s="778" t="s">
        <v>385</v>
      </c>
      <c r="B22" s="779"/>
      <c r="C22" s="779"/>
      <c r="D22" s="779"/>
      <c r="E22" s="779"/>
      <c r="F22" s="779"/>
      <c r="G22" s="780"/>
    </row>
    <row r="23" spans="1:18" ht="49.5" customHeight="1" x14ac:dyDescent="0.25">
      <c r="A23" s="775" t="s">
        <v>386</v>
      </c>
      <c r="B23" s="777" t="s">
        <v>398</v>
      </c>
      <c r="C23" s="777"/>
      <c r="D23" s="777" t="s">
        <v>399</v>
      </c>
      <c r="E23" s="777"/>
      <c r="F23" s="777" t="s">
        <v>400</v>
      </c>
      <c r="G23" s="777"/>
    </row>
    <row r="24" spans="1:18" ht="15.75" customHeight="1" x14ac:dyDescent="0.25">
      <c r="A24" s="776"/>
      <c r="B24" s="775" t="s">
        <v>388</v>
      </c>
      <c r="C24" s="775"/>
      <c r="D24" s="777" t="s">
        <v>388</v>
      </c>
      <c r="E24" s="777"/>
      <c r="F24" s="775" t="s">
        <v>388</v>
      </c>
      <c r="G24" s="775"/>
    </row>
    <row r="25" spans="1:18" ht="15.75" x14ac:dyDescent="0.25">
      <c r="A25" s="265" t="s">
        <v>1</v>
      </c>
      <c r="B25" s="265" t="s">
        <v>2</v>
      </c>
      <c r="C25" s="5" t="s">
        <v>389</v>
      </c>
      <c r="D25" s="265" t="s">
        <v>1</v>
      </c>
      <c r="E25" s="5" t="s">
        <v>215</v>
      </c>
      <c r="F25" s="265" t="s">
        <v>1</v>
      </c>
      <c r="G25" s="266" t="s">
        <v>213</v>
      </c>
    </row>
    <row r="26" spans="1:18" ht="15.75" x14ac:dyDescent="0.25">
      <c r="A26" s="267" t="s">
        <v>2</v>
      </c>
      <c r="B26" s="267" t="s">
        <v>3</v>
      </c>
      <c r="C26" s="8" t="s">
        <v>391</v>
      </c>
      <c r="D26" s="267" t="s">
        <v>2</v>
      </c>
      <c r="E26" s="8" t="s">
        <v>216</v>
      </c>
      <c r="F26" s="267" t="s">
        <v>3</v>
      </c>
      <c r="G26" s="268" t="s">
        <v>390</v>
      </c>
    </row>
    <row r="27" spans="1:18" ht="15.75" x14ac:dyDescent="0.25">
      <c r="A27" s="267" t="s">
        <v>3</v>
      </c>
      <c r="B27" s="267" t="s">
        <v>4</v>
      </c>
      <c r="C27" s="8" t="s">
        <v>392</v>
      </c>
      <c r="D27" s="267" t="s">
        <v>3</v>
      </c>
      <c r="E27" s="8" t="s">
        <v>13</v>
      </c>
      <c r="F27" s="267" t="s">
        <v>3</v>
      </c>
      <c r="G27" s="268" t="s">
        <v>213</v>
      </c>
    </row>
    <row r="28" spans="1:18" ht="15.75" x14ac:dyDescent="0.25">
      <c r="A28" s="267" t="s">
        <v>4</v>
      </c>
      <c r="B28" s="267" t="s">
        <v>5</v>
      </c>
      <c r="C28" s="8" t="s">
        <v>177</v>
      </c>
      <c r="D28" s="267" t="s">
        <v>4</v>
      </c>
      <c r="E28" s="8" t="s">
        <v>13</v>
      </c>
      <c r="F28" s="267" t="s">
        <v>5</v>
      </c>
      <c r="G28" s="268" t="s">
        <v>393</v>
      </c>
    </row>
    <row r="29" spans="1:18" ht="15.75" x14ac:dyDescent="0.25">
      <c r="A29" s="267" t="s">
        <v>5</v>
      </c>
      <c r="B29" s="267" t="s">
        <v>6</v>
      </c>
      <c r="C29" s="8" t="s">
        <v>393</v>
      </c>
      <c r="D29" s="267" t="s">
        <v>5</v>
      </c>
      <c r="E29" s="8" t="s">
        <v>214</v>
      </c>
      <c r="F29" s="267" t="s">
        <v>5</v>
      </c>
      <c r="G29" s="268" t="s">
        <v>394</v>
      </c>
    </row>
    <row r="30" spans="1:18" ht="15.75" x14ac:dyDescent="0.25">
      <c r="A30" s="267" t="s">
        <v>6</v>
      </c>
      <c r="B30" s="267" t="s">
        <v>7</v>
      </c>
      <c r="C30" s="8" t="s">
        <v>392</v>
      </c>
      <c r="D30" s="267" t="s">
        <v>6</v>
      </c>
      <c r="E30" s="8" t="s">
        <v>215</v>
      </c>
      <c r="F30" s="267" t="s">
        <v>7</v>
      </c>
      <c r="G30" s="268" t="s">
        <v>395</v>
      </c>
    </row>
    <row r="31" spans="1:18" ht="15.75" x14ac:dyDescent="0.25">
      <c r="A31" s="267" t="s">
        <v>7</v>
      </c>
      <c r="B31" s="267" t="s">
        <v>8</v>
      </c>
      <c r="C31" s="8" t="s">
        <v>392</v>
      </c>
      <c r="D31" s="267" t="s">
        <v>7</v>
      </c>
      <c r="E31" s="8" t="s">
        <v>215</v>
      </c>
      <c r="F31" s="267" t="s">
        <v>7</v>
      </c>
      <c r="G31" s="268" t="s">
        <v>213</v>
      </c>
    </row>
    <row r="32" spans="1:18" ht="15.75" x14ac:dyDescent="0.25">
      <c r="A32" s="267" t="s">
        <v>8</v>
      </c>
      <c r="B32" s="267" t="s">
        <v>9</v>
      </c>
      <c r="C32" s="8" t="s">
        <v>393</v>
      </c>
      <c r="D32" s="267" t="s">
        <v>8</v>
      </c>
      <c r="E32" s="8" t="s">
        <v>216</v>
      </c>
      <c r="F32" s="267" t="s">
        <v>8</v>
      </c>
      <c r="G32" s="268" t="s">
        <v>213</v>
      </c>
    </row>
    <row r="33" spans="1:7" ht="15.75" x14ac:dyDescent="0.25">
      <c r="A33" s="267" t="s">
        <v>9</v>
      </c>
      <c r="B33" s="267" t="s">
        <v>10</v>
      </c>
      <c r="C33" s="8" t="s">
        <v>392</v>
      </c>
      <c r="D33" s="267" t="s">
        <v>9</v>
      </c>
      <c r="E33" s="8" t="s">
        <v>13</v>
      </c>
      <c r="F33" s="267" t="s">
        <v>10</v>
      </c>
      <c r="G33" s="268" t="s">
        <v>395</v>
      </c>
    </row>
    <row r="34" spans="1:7" ht="15.75" x14ac:dyDescent="0.25">
      <c r="A34" s="267" t="s">
        <v>10</v>
      </c>
      <c r="B34" s="267" t="s">
        <v>11</v>
      </c>
      <c r="C34" s="8" t="s">
        <v>392</v>
      </c>
      <c r="D34" s="267" t="s">
        <v>10</v>
      </c>
      <c r="E34" s="8" t="s">
        <v>215</v>
      </c>
      <c r="F34" s="267" t="s">
        <v>10</v>
      </c>
      <c r="G34" s="268" t="s">
        <v>396</v>
      </c>
    </row>
    <row r="35" spans="1:7" ht="15.75" x14ac:dyDescent="0.25">
      <c r="A35" s="267" t="s">
        <v>11</v>
      </c>
      <c r="B35" s="267" t="s">
        <v>12</v>
      </c>
      <c r="C35" s="8" t="s">
        <v>393</v>
      </c>
      <c r="D35" s="267" t="s">
        <v>11</v>
      </c>
      <c r="E35" s="8" t="s">
        <v>13</v>
      </c>
      <c r="F35" s="267" t="s">
        <v>12</v>
      </c>
      <c r="G35" s="268" t="s">
        <v>395</v>
      </c>
    </row>
    <row r="36" spans="1:7" ht="15.75" x14ac:dyDescent="0.25">
      <c r="A36" s="269" t="s">
        <v>12</v>
      </c>
      <c r="B36" s="406" t="s">
        <v>397</v>
      </c>
      <c r="C36" s="9" t="s">
        <v>389</v>
      </c>
      <c r="D36" s="269" t="s">
        <v>12</v>
      </c>
      <c r="E36" s="9" t="s">
        <v>215</v>
      </c>
      <c r="F36" s="406" t="s">
        <v>397</v>
      </c>
      <c r="G36" s="270" t="s">
        <v>393</v>
      </c>
    </row>
    <row r="39" spans="1:7" ht="15.75" x14ac:dyDescent="0.25">
      <c r="A39" s="778" t="s">
        <v>385</v>
      </c>
      <c r="B39" s="779"/>
      <c r="C39" s="779"/>
      <c r="D39" s="779"/>
      <c r="E39" s="779"/>
      <c r="F39" s="779"/>
      <c r="G39" s="780"/>
    </row>
    <row r="40" spans="1:7" ht="49.5" customHeight="1" x14ac:dyDescent="0.25">
      <c r="A40" s="775" t="s">
        <v>386</v>
      </c>
      <c r="B40" s="777" t="s">
        <v>401</v>
      </c>
      <c r="C40" s="777"/>
      <c r="D40" s="781" t="s">
        <v>402</v>
      </c>
      <c r="E40" s="781"/>
      <c r="F40" s="781" t="s">
        <v>403</v>
      </c>
      <c r="G40" s="781"/>
    </row>
    <row r="41" spans="1:7" x14ac:dyDescent="0.25">
      <c r="A41" s="776"/>
      <c r="B41" s="775" t="s">
        <v>388</v>
      </c>
      <c r="C41" s="775"/>
      <c r="D41" s="777" t="s">
        <v>388</v>
      </c>
      <c r="E41" s="777"/>
      <c r="F41" s="775" t="s">
        <v>388</v>
      </c>
      <c r="G41" s="775"/>
    </row>
    <row r="42" spans="1:7" ht="15.75" x14ac:dyDescent="0.25">
      <c r="A42" s="265" t="s">
        <v>1</v>
      </c>
      <c r="B42" s="265" t="s">
        <v>1</v>
      </c>
      <c r="C42" s="5" t="s">
        <v>215</v>
      </c>
      <c r="D42" s="265" t="s">
        <v>1</v>
      </c>
      <c r="E42" s="266" t="s">
        <v>213</v>
      </c>
      <c r="F42" s="265" t="s">
        <v>1</v>
      </c>
      <c r="G42" s="5" t="s">
        <v>215</v>
      </c>
    </row>
    <row r="43" spans="1:7" ht="15.75" x14ac:dyDescent="0.25">
      <c r="A43" s="267" t="s">
        <v>2</v>
      </c>
      <c r="B43" s="267" t="s">
        <v>2</v>
      </c>
      <c r="C43" s="8" t="s">
        <v>216</v>
      </c>
      <c r="D43" s="267" t="s">
        <v>3</v>
      </c>
      <c r="E43" s="268" t="s">
        <v>390</v>
      </c>
      <c r="F43" s="267" t="s">
        <v>2</v>
      </c>
      <c r="G43" s="8" t="s">
        <v>216</v>
      </c>
    </row>
    <row r="44" spans="1:7" ht="15.75" x14ac:dyDescent="0.25">
      <c r="A44" s="267" t="s">
        <v>3</v>
      </c>
      <c r="B44" s="267" t="s">
        <v>3</v>
      </c>
      <c r="C44" s="8" t="s">
        <v>13</v>
      </c>
      <c r="D44" s="267" t="s">
        <v>3</v>
      </c>
      <c r="E44" s="268" t="s">
        <v>213</v>
      </c>
      <c r="F44" s="267" t="s">
        <v>3</v>
      </c>
      <c r="G44" s="8" t="s">
        <v>13</v>
      </c>
    </row>
    <row r="45" spans="1:7" ht="15.75" x14ac:dyDescent="0.25">
      <c r="A45" s="267" t="s">
        <v>4</v>
      </c>
      <c r="B45" s="267" t="s">
        <v>4</v>
      </c>
      <c r="C45" s="8" t="s">
        <v>13</v>
      </c>
      <c r="D45" s="267" t="s">
        <v>5</v>
      </c>
      <c r="E45" s="268" t="s">
        <v>393</v>
      </c>
      <c r="F45" s="267" t="s">
        <v>4</v>
      </c>
      <c r="G45" s="8" t="s">
        <v>13</v>
      </c>
    </row>
    <row r="46" spans="1:7" ht="15.75" x14ac:dyDescent="0.25">
      <c r="A46" s="267" t="s">
        <v>5</v>
      </c>
      <c r="B46" s="267" t="s">
        <v>5</v>
      </c>
      <c r="C46" s="8" t="s">
        <v>214</v>
      </c>
      <c r="D46" s="267" t="s">
        <v>5</v>
      </c>
      <c r="E46" s="268" t="s">
        <v>394</v>
      </c>
      <c r="F46" s="267" t="s">
        <v>5</v>
      </c>
      <c r="G46" s="8" t="s">
        <v>214</v>
      </c>
    </row>
    <row r="47" spans="1:7" ht="15.75" x14ac:dyDescent="0.25">
      <c r="A47" s="267" t="s">
        <v>6</v>
      </c>
      <c r="B47" s="267" t="s">
        <v>6</v>
      </c>
      <c r="C47" s="8" t="s">
        <v>215</v>
      </c>
      <c r="D47" s="267" t="s">
        <v>7</v>
      </c>
      <c r="E47" s="268" t="s">
        <v>395</v>
      </c>
      <c r="F47" s="267" t="s">
        <v>6</v>
      </c>
      <c r="G47" s="8" t="s">
        <v>215</v>
      </c>
    </row>
    <row r="48" spans="1:7" ht="15.75" x14ac:dyDescent="0.25">
      <c r="A48" s="267" t="s">
        <v>7</v>
      </c>
      <c r="B48" s="267" t="s">
        <v>7</v>
      </c>
      <c r="C48" s="8" t="s">
        <v>215</v>
      </c>
      <c r="D48" s="267" t="s">
        <v>7</v>
      </c>
      <c r="E48" s="268" t="s">
        <v>213</v>
      </c>
      <c r="F48" s="267" t="s">
        <v>7</v>
      </c>
      <c r="G48" s="8" t="s">
        <v>215</v>
      </c>
    </row>
    <row r="49" spans="1:7" ht="15.75" x14ac:dyDescent="0.25">
      <c r="A49" s="267" t="s">
        <v>8</v>
      </c>
      <c r="B49" s="267" t="s">
        <v>8</v>
      </c>
      <c r="C49" s="8" t="s">
        <v>216</v>
      </c>
      <c r="D49" s="267" t="s">
        <v>8</v>
      </c>
      <c r="E49" s="268" t="s">
        <v>213</v>
      </c>
      <c r="F49" s="267" t="s">
        <v>8</v>
      </c>
      <c r="G49" s="8" t="s">
        <v>216</v>
      </c>
    </row>
    <row r="50" spans="1:7" ht="15.75" x14ac:dyDescent="0.25">
      <c r="A50" s="267" t="s">
        <v>9</v>
      </c>
      <c r="B50" s="267" t="s">
        <v>9</v>
      </c>
      <c r="C50" s="8" t="s">
        <v>13</v>
      </c>
      <c r="D50" s="267" t="s">
        <v>10</v>
      </c>
      <c r="E50" s="268" t="s">
        <v>395</v>
      </c>
      <c r="F50" s="267" t="s">
        <v>9</v>
      </c>
      <c r="G50" s="8" t="s">
        <v>13</v>
      </c>
    </row>
    <row r="51" spans="1:7" ht="15.75" x14ac:dyDescent="0.25">
      <c r="A51" s="267" t="s">
        <v>10</v>
      </c>
      <c r="B51" s="267" t="s">
        <v>10</v>
      </c>
      <c r="C51" s="8" t="s">
        <v>215</v>
      </c>
      <c r="D51" s="267" t="s">
        <v>10</v>
      </c>
      <c r="E51" s="268" t="s">
        <v>396</v>
      </c>
      <c r="F51" s="267" t="s">
        <v>10</v>
      </c>
      <c r="G51" s="8" t="s">
        <v>215</v>
      </c>
    </row>
    <row r="52" spans="1:7" ht="15.75" x14ac:dyDescent="0.25">
      <c r="A52" s="267" t="s">
        <v>11</v>
      </c>
      <c r="B52" s="267" t="s">
        <v>11</v>
      </c>
      <c r="C52" s="8" t="s">
        <v>13</v>
      </c>
      <c r="D52" s="267" t="s">
        <v>12</v>
      </c>
      <c r="E52" s="268" t="s">
        <v>395</v>
      </c>
      <c r="F52" s="267" t="s">
        <v>11</v>
      </c>
      <c r="G52" s="8" t="s">
        <v>13</v>
      </c>
    </row>
    <row r="53" spans="1:7" ht="15.75" x14ac:dyDescent="0.25">
      <c r="A53" s="269" t="s">
        <v>12</v>
      </c>
      <c r="B53" s="269" t="s">
        <v>12</v>
      </c>
      <c r="C53" s="9" t="s">
        <v>215</v>
      </c>
      <c r="D53" s="406" t="s">
        <v>397</v>
      </c>
      <c r="E53" s="270" t="s">
        <v>393</v>
      </c>
      <c r="F53" s="269" t="s">
        <v>12</v>
      </c>
      <c r="G53" s="9" t="s">
        <v>215</v>
      </c>
    </row>
  </sheetData>
  <mergeCells count="24">
    <mergeCell ref="A39:G39"/>
    <mergeCell ref="A40:A41"/>
    <mergeCell ref="B40:C40"/>
    <mergeCell ref="D40:E40"/>
    <mergeCell ref="F40:G40"/>
    <mergeCell ref="B41:C41"/>
    <mergeCell ref="D41:E41"/>
    <mergeCell ref="F41:G41"/>
    <mergeCell ref="A22:G22"/>
    <mergeCell ref="A23:A24"/>
    <mergeCell ref="B23:C23"/>
    <mergeCell ref="D23:E23"/>
    <mergeCell ref="F23:G23"/>
    <mergeCell ref="B24:C24"/>
    <mergeCell ref="D24:E24"/>
    <mergeCell ref="F24:G24"/>
    <mergeCell ref="A1:G1"/>
    <mergeCell ref="A2:G2"/>
    <mergeCell ref="B5:F5"/>
    <mergeCell ref="B6:B7"/>
    <mergeCell ref="C6:D6"/>
    <mergeCell ref="E6:F6"/>
    <mergeCell ref="C7:D7"/>
    <mergeCell ref="E7:F7"/>
  </mergeCells>
  <pageMargins left="0.5" right="0.48" top="0.21" bottom="0.14000000000000001" header="0.26" footer="0.31496062992125984"/>
  <pageSetup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2:Y31"/>
  <sheetViews>
    <sheetView workbookViewId="0">
      <selection activeCell="B2" sqref="B2:L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2" hidden="1" customWidth="1"/>
    <col min="19" max="19" width="15.85546875" customWidth="1"/>
    <col min="20" max="20" width="14.7109375" customWidth="1"/>
    <col min="21" max="21" width="15.140625" customWidth="1"/>
  </cols>
  <sheetData>
    <row r="2" spans="2:25" x14ac:dyDescent="0.25">
      <c r="B2" s="860" t="s">
        <v>382</v>
      </c>
      <c r="C2" s="860"/>
      <c r="D2" s="860"/>
      <c r="E2" s="860"/>
      <c r="F2" s="860"/>
      <c r="G2" s="860"/>
      <c r="H2" s="860"/>
      <c r="I2" s="860"/>
      <c r="J2" s="860"/>
      <c r="K2" s="944"/>
      <c r="L2" s="944"/>
      <c r="M2" s="11"/>
      <c r="N2" s="11"/>
      <c r="O2" s="11"/>
      <c r="P2" s="11"/>
      <c r="S2" s="191"/>
    </row>
    <row r="3" spans="2:25" x14ac:dyDescent="0.25">
      <c r="B3" s="806" t="s">
        <v>281</v>
      </c>
      <c r="C3" s="806"/>
      <c r="D3" s="806"/>
      <c r="E3" s="806"/>
      <c r="F3" s="806"/>
      <c r="G3" s="806"/>
      <c r="H3" s="806"/>
      <c r="I3" s="806"/>
      <c r="J3" s="806"/>
      <c r="K3" s="11"/>
      <c r="L3" s="11"/>
      <c r="M3" s="11"/>
      <c r="N3" s="191" t="s">
        <v>174</v>
      </c>
      <c r="O3" s="11"/>
      <c r="P3" s="11"/>
      <c r="Q3" s="79"/>
      <c r="R3" s="79"/>
    </row>
    <row r="4" spans="2:25" ht="15.75" thickBot="1" x14ac:dyDescent="0.3">
      <c r="M4" s="192"/>
      <c r="N4" s="192"/>
      <c r="O4" s="192"/>
      <c r="P4" s="192"/>
      <c r="Q4" s="192"/>
      <c r="R4" s="192"/>
      <c r="S4" s="192"/>
    </row>
    <row r="5" spans="2:25" ht="15" customHeight="1" x14ac:dyDescent="0.25">
      <c r="B5" s="812" t="s">
        <v>85</v>
      </c>
      <c r="C5" s="365" t="s">
        <v>141</v>
      </c>
      <c r="D5" s="939" t="s">
        <v>243</v>
      </c>
      <c r="E5" s="472" t="s">
        <v>142</v>
      </c>
      <c r="F5" s="939" t="s">
        <v>244</v>
      </c>
      <c r="G5" s="472" t="s">
        <v>30</v>
      </c>
      <c r="H5" s="472" t="s">
        <v>30</v>
      </c>
      <c r="I5" s="939" t="s">
        <v>245</v>
      </c>
      <c r="J5" s="942" t="s">
        <v>246</v>
      </c>
      <c r="K5" s="200"/>
      <c r="L5" s="108" t="s">
        <v>143</v>
      </c>
      <c r="M5" s="108"/>
      <c r="N5" s="108" t="s">
        <v>25</v>
      </c>
      <c r="O5" s="938"/>
      <c r="P5" s="938"/>
      <c r="Q5" s="192"/>
      <c r="R5" s="192"/>
      <c r="S5" s="192"/>
      <c r="T5" s="192"/>
      <c r="U5" s="151"/>
      <c r="V5" s="151"/>
      <c r="W5" s="159"/>
      <c r="X5" s="159"/>
      <c r="Y5" s="159"/>
    </row>
    <row r="6" spans="2:25" x14ac:dyDescent="0.25">
      <c r="B6" s="813"/>
      <c r="C6" s="366" t="s">
        <v>34</v>
      </c>
      <c r="D6" s="940"/>
      <c r="E6" s="364" t="s">
        <v>34</v>
      </c>
      <c r="F6" s="940"/>
      <c r="G6" s="364" t="s">
        <v>34</v>
      </c>
      <c r="H6" s="364" t="s">
        <v>144</v>
      </c>
      <c r="I6" s="940"/>
      <c r="J6" s="943"/>
      <c r="K6" s="201"/>
      <c r="L6" s="25" t="s">
        <v>145</v>
      </c>
      <c r="M6" s="25"/>
      <c r="N6" s="25" t="s">
        <v>175</v>
      </c>
      <c r="O6" s="938"/>
      <c r="P6" s="938"/>
      <c r="Q6" s="192"/>
      <c r="R6" s="192"/>
      <c r="S6" s="192"/>
      <c r="T6" s="192"/>
      <c r="U6" s="151"/>
      <c r="V6" s="151"/>
      <c r="W6" s="159"/>
      <c r="X6" s="159"/>
      <c r="Y6" s="159"/>
    </row>
    <row r="7" spans="2:25" x14ac:dyDescent="0.25">
      <c r="B7" s="813"/>
      <c r="C7" s="491">
        <v>0.6</v>
      </c>
      <c r="D7" s="473" t="s">
        <v>45</v>
      </c>
      <c r="E7" s="473">
        <v>0.3</v>
      </c>
      <c r="F7" s="473" t="s">
        <v>45</v>
      </c>
      <c r="G7" s="473">
        <v>0.1</v>
      </c>
      <c r="H7" s="473"/>
      <c r="I7" s="473" t="s">
        <v>45</v>
      </c>
      <c r="J7" s="943"/>
      <c r="K7" s="202"/>
      <c r="L7" s="25" t="s">
        <v>33</v>
      </c>
      <c r="M7" s="25"/>
      <c r="N7" s="142"/>
      <c r="O7" s="192"/>
      <c r="P7" s="192"/>
      <c r="Q7" s="192"/>
      <c r="R7" s="192"/>
      <c r="S7" s="192"/>
      <c r="T7" s="192"/>
      <c r="U7" s="151"/>
      <c r="V7" s="151"/>
      <c r="W7" s="159"/>
      <c r="X7" s="159"/>
      <c r="Y7" s="159"/>
    </row>
    <row r="8" spans="2:25" ht="15.75" thickBot="1" x14ac:dyDescent="0.3">
      <c r="B8" s="814"/>
      <c r="C8" s="593">
        <v>1</v>
      </c>
      <c r="D8" s="594" t="s">
        <v>99</v>
      </c>
      <c r="E8" s="594" t="s">
        <v>73</v>
      </c>
      <c r="F8" s="594" t="s">
        <v>100</v>
      </c>
      <c r="G8" s="594" t="s">
        <v>75</v>
      </c>
      <c r="H8" s="594" t="s">
        <v>309</v>
      </c>
      <c r="I8" s="594" t="s">
        <v>76</v>
      </c>
      <c r="J8" s="596" t="s">
        <v>311</v>
      </c>
      <c r="K8" s="203"/>
      <c r="L8" s="143" t="s">
        <v>176</v>
      </c>
      <c r="M8" s="143"/>
      <c r="N8" s="143" t="s">
        <v>177</v>
      </c>
      <c r="O8" s="165"/>
      <c r="P8" s="165"/>
      <c r="Q8" s="165"/>
      <c r="R8" s="165"/>
      <c r="S8" s="165"/>
      <c r="T8" s="192"/>
      <c r="U8" s="165"/>
      <c r="V8" s="165"/>
      <c r="W8" s="159"/>
      <c r="X8" s="159"/>
      <c r="Y8" s="159"/>
    </row>
    <row r="9" spans="2:25" ht="22.5" customHeight="1" x14ac:dyDescent="0.25">
      <c r="B9" s="154" t="s">
        <v>46</v>
      </c>
      <c r="C9" s="492">
        <f>FGP!E8</f>
        <v>3.1589687142796663</v>
      </c>
      <c r="D9" s="437">
        <f t="shared" ref="D9:D28" si="0">C9*$D$29/100</f>
        <v>156885.40530784897</v>
      </c>
      <c r="E9" s="474">
        <f>FGP!K8</f>
        <v>4.2250308776269785</v>
      </c>
      <c r="F9" s="437">
        <f t="shared" ref="F9:F28" si="1">E9*$F$29/100</f>
        <v>104914.88546220578</v>
      </c>
      <c r="G9" s="474">
        <f>FGP!Q8</f>
        <v>5.0078061032905623</v>
      </c>
      <c r="H9" s="474">
        <f>G9*10%</f>
        <v>0.5007806103290563</v>
      </c>
      <c r="I9" s="437">
        <f>G9*$I$29/100</f>
        <v>41450.853178044759</v>
      </c>
      <c r="J9" s="475">
        <f t="shared" ref="J9:J28" si="2">D9+F9+I9</f>
        <v>303251.14394809952</v>
      </c>
      <c r="K9" s="204"/>
      <c r="L9" s="205" t="e">
        <f>#REF!+#REF!+H9</f>
        <v>#REF!</v>
      </c>
      <c r="M9" s="167"/>
      <c r="N9" s="206" t="e">
        <f>[1]Datos!K$64*L9%*22.5%</f>
        <v>#REF!</v>
      </c>
      <c r="O9" s="207"/>
      <c r="P9" s="148"/>
      <c r="Q9" s="167"/>
      <c r="R9" s="124"/>
      <c r="S9" s="124"/>
      <c r="T9" s="167"/>
      <c r="U9" s="168"/>
      <c r="V9" s="169"/>
      <c r="W9" s="170"/>
      <c r="X9" s="159"/>
      <c r="Y9" s="159"/>
    </row>
    <row r="10" spans="2:25" ht="22.5" customHeight="1" x14ac:dyDescent="0.25">
      <c r="B10" s="154" t="s">
        <v>47</v>
      </c>
      <c r="C10" s="492">
        <f>FGP!E9</f>
        <v>1.3507472164599297</v>
      </c>
      <c r="D10" s="437">
        <f t="shared" si="0"/>
        <v>67082.818378303215</v>
      </c>
      <c r="E10" s="474">
        <f>FGP!K9</f>
        <v>4.4181751925055499</v>
      </c>
      <c r="F10" s="437">
        <f t="shared" si="1"/>
        <v>109710.99565881169</v>
      </c>
      <c r="G10" s="474">
        <f>FGP!Q9</f>
        <v>7.4156728904909102</v>
      </c>
      <c r="H10" s="474">
        <f t="shared" ref="H10:H29" si="3">G10*10%</f>
        <v>0.74156728904909108</v>
      </c>
      <c r="I10" s="437">
        <f t="shared" ref="I10:I28" si="4">G10*$I$29/100</f>
        <v>61381.363786861933</v>
      </c>
      <c r="J10" s="475">
        <f t="shared" si="2"/>
        <v>238175.17782397685</v>
      </c>
      <c r="K10" s="166"/>
      <c r="L10" s="208" t="e">
        <f>#REF!+#REF!+H10</f>
        <v>#REF!</v>
      </c>
      <c r="M10" s="208"/>
      <c r="N10" s="206" t="e">
        <f>[1]Datos!K$64*L10%*22.5%</f>
        <v>#REF!</v>
      </c>
      <c r="O10" s="207"/>
      <c r="P10" s="148"/>
      <c r="Q10" s="167"/>
      <c r="R10" s="209"/>
      <c r="S10" s="124"/>
      <c r="T10" s="167"/>
      <c r="U10" s="168"/>
      <c r="V10" s="169"/>
      <c r="W10" s="170"/>
      <c r="X10" s="159"/>
      <c r="Y10" s="159"/>
    </row>
    <row r="11" spans="2:25" ht="22.5" customHeight="1" x14ac:dyDescent="0.25">
      <c r="B11" s="154" t="s">
        <v>48</v>
      </c>
      <c r="C11" s="492">
        <f>FGP!E10</f>
        <v>1.0034291520257399</v>
      </c>
      <c r="D11" s="437">
        <f t="shared" si="0"/>
        <v>49833.791800994884</v>
      </c>
      <c r="E11" s="474">
        <f>FGP!K10</f>
        <v>12.497325154587893</v>
      </c>
      <c r="F11" s="437">
        <f t="shared" si="1"/>
        <v>310330.37986078637</v>
      </c>
      <c r="G11" s="474">
        <f>FGP!Q10</f>
        <v>3.6401319096022822</v>
      </c>
      <c r="H11" s="474">
        <f t="shared" si="3"/>
        <v>0.36401319096022822</v>
      </c>
      <c r="I11" s="437">
        <f t="shared" si="4"/>
        <v>30130.274659494971</v>
      </c>
      <c r="J11" s="475">
        <f t="shared" si="2"/>
        <v>390294.44632127625</v>
      </c>
      <c r="K11" s="166"/>
      <c r="L11" s="208" t="e">
        <f>#REF!+#REF!+H11</f>
        <v>#REF!</v>
      </c>
      <c r="M11" s="208"/>
      <c r="N11" s="206" t="e">
        <f>[1]Datos!K$64*L11%*22.5%</f>
        <v>#REF!</v>
      </c>
      <c r="O11" s="207"/>
      <c r="P11" s="148"/>
      <c r="Q11" s="167"/>
      <c r="R11" s="124"/>
      <c r="S11" s="124"/>
      <c r="T11" s="167"/>
      <c r="U11" s="168"/>
      <c r="V11" s="169"/>
      <c r="W11" s="170"/>
      <c r="X11" s="159"/>
      <c r="Y11" s="159"/>
    </row>
    <row r="12" spans="2:25" ht="22.5" customHeight="1" x14ac:dyDescent="0.25">
      <c r="B12" s="154" t="s">
        <v>49</v>
      </c>
      <c r="C12" s="492">
        <f>FGP!E11</f>
        <v>12.721730663392744</v>
      </c>
      <c r="D12" s="437">
        <f t="shared" si="0"/>
        <v>631805.52004889725</v>
      </c>
      <c r="E12" s="474">
        <f>FGP!K11</f>
        <v>4.4317326908663102</v>
      </c>
      <c r="F12" s="437">
        <f t="shared" si="1"/>
        <v>110047.65198840332</v>
      </c>
      <c r="G12" s="474">
        <f>FGP!Q11</f>
        <v>1.7672568418910855</v>
      </c>
      <c r="H12" s="474">
        <f t="shared" si="3"/>
        <v>0.17672568418910856</v>
      </c>
      <c r="I12" s="437">
        <f t="shared" si="4"/>
        <v>14628.023204210727</v>
      </c>
      <c r="J12" s="475">
        <f t="shared" si="2"/>
        <v>756481.19524151122</v>
      </c>
      <c r="K12" s="166"/>
      <c r="L12" s="208" t="e">
        <f>#REF!+#REF!+H12</f>
        <v>#REF!</v>
      </c>
      <c r="M12" s="208"/>
      <c r="N12" s="206" t="e">
        <f>[1]Datos!K$64*L12%*22.5%</f>
        <v>#REF!</v>
      </c>
      <c r="O12" s="207"/>
      <c r="P12" s="148"/>
      <c r="Q12" s="167"/>
      <c r="R12" s="124"/>
      <c r="S12" s="124"/>
      <c r="T12" s="167"/>
      <c r="U12" s="168"/>
      <c r="V12" s="169"/>
      <c r="W12" s="170"/>
      <c r="X12" s="159"/>
      <c r="Y12" s="159"/>
    </row>
    <row r="13" spans="2:25" ht="22.5" customHeight="1" x14ac:dyDescent="0.25">
      <c r="B13" s="154" t="s">
        <v>50</v>
      </c>
      <c r="C13" s="492">
        <f>FGP!E12</f>
        <v>6.3943101477498834</v>
      </c>
      <c r="D13" s="437">
        <f t="shared" si="0"/>
        <v>317563.74625020107</v>
      </c>
      <c r="E13" s="474">
        <f>FGP!K12</f>
        <v>4.160945633060944</v>
      </c>
      <c r="F13" s="437">
        <f t="shared" si="1"/>
        <v>103323.53707015823</v>
      </c>
      <c r="G13" s="474">
        <f>FGP!Q12</f>
        <v>3.1149553477091372</v>
      </c>
      <c r="H13" s="474">
        <f t="shared" si="3"/>
        <v>0.31149553477091374</v>
      </c>
      <c r="I13" s="437">
        <f t="shared" si="4"/>
        <v>25783.25799978865</v>
      </c>
      <c r="J13" s="475">
        <f t="shared" si="2"/>
        <v>446670.54132014792</v>
      </c>
      <c r="K13" s="166"/>
      <c r="L13" s="208" t="e">
        <f>#REF!+#REF!+H13</f>
        <v>#REF!</v>
      </c>
      <c r="M13" s="208"/>
      <c r="N13" s="206" t="e">
        <f>[1]Datos!K$64*L13%*22.5%</f>
        <v>#REF!</v>
      </c>
      <c r="O13" s="207"/>
      <c r="P13" s="148"/>
      <c r="Q13" s="167"/>
      <c r="R13" s="124"/>
      <c r="S13" s="124"/>
      <c r="T13" s="167"/>
      <c r="U13" s="168"/>
      <c r="V13" s="169"/>
      <c r="W13" s="170"/>
      <c r="X13" s="159"/>
      <c r="Y13" s="159"/>
    </row>
    <row r="14" spans="2:25" ht="22.5" customHeight="1" x14ac:dyDescent="0.25">
      <c r="B14" s="154" t="s">
        <v>51</v>
      </c>
      <c r="C14" s="492">
        <f>FGP!E13</f>
        <v>3.5996782524025233</v>
      </c>
      <c r="D14" s="437">
        <f t="shared" si="0"/>
        <v>178772.57823200541</v>
      </c>
      <c r="E14" s="474">
        <f>FGP!K13</f>
        <v>3.2083097863507741</v>
      </c>
      <c r="F14" s="437">
        <f t="shared" si="1"/>
        <v>79667.927527980355</v>
      </c>
      <c r="G14" s="474">
        <f>FGP!Q13</f>
        <v>5.0729087149329999</v>
      </c>
      <c r="H14" s="474">
        <f t="shared" si="3"/>
        <v>0.50729087149329999</v>
      </c>
      <c r="I14" s="437">
        <f t="shared" si="4"/>
        <v>41989.723641684468</v>
      </c>
      <c r="J14" s="475">
        <f t="shared" si="2"/>
        <v>300430.22940167022</v>
      </c>
      <c r="K14" s="166"/>
      <c r="L14" s="208" t="e">
        <f>#REF!+#REF!+H14</f>
        <v>#REF!</v>
      </c>
      <c r="M14" s="208"/>
      <c r="N14" s="206" t="e">
        <f>[1]Datos!K$64*L14%*22.5%</f>
        <v>#REF!</v>
      </c>
      <c r="O14" s="207"/>
      <c r="P14" s="148"/>
      <c r="Q14" s="167"/>
      <c r="R14" s="124"/>
      <c r="S14" s="124"/>
      <c r="T14" s="167"/>
      <c r="U14" s="168"/>
      <c r="V14" s="169"/>
      <c r="W14" s="170"/>
      <c r="X14" s="159"/>
      <c r="Y14" s="159"/>
    </row>
    <row r="15" spans="2:25" ht="22.5" customHeight="1" x14ac:dyDescent="0.25">
      <c r="B15" s="154" t="s">
        <v>52</v>
      </c>
      <c r="C15" s="492">
        <f>FGP!E14</f>
        <v>1.0680326827822699</v>
      </c>
      <c r="D15" s="437">
        <f t="shared" si="0"/>
        <v>53042.228485169981</v>
      </c>
      <c r="E15" s="474">
        <f>FGP!K14</f>
        <v>9.9779785583310847</v>
      </c>
      <c r="F15" s="437">
        <f t="shared" si="1"/>
        <v>247770.609946315</v>
      </c>
      <c r="G15" s="474">
        <f>FGP!Q14</f>
        <v>4.3583415548274083</v>
      </c>
      <c r="H15" s="474">
        <f t="shared" si="3"/>
        <v>0.43583415548274085</v>
      </c>
      <c r="I15" s="437">
        <f t="shared" si="4"/>
        <v>36075.0740269706</v>
      </c>
      <c r="J15" s="475">
        <f t="shared" si="2"/>
        <v>336887.9124584556</v>
      </c>
      <c r="K15" s="166"/>
      <c r="L15" s="208" t="e">
        <f>#REF!+#REF!+H15</f>
        <v>#REF!</v>
      </c>
      <c r="M15" s="208"/>
      <c r="N15" s="206" t="e">
        <f>[1]Datos!K$64*L15%*22.5%</f>
        <v>#REF!</v>
      </c>
      <c r="O15" s="207"/>
      <c r="P15" s="148"/>
      <c r="Q15" s="167"/>
      <c r="R15" s="124"/>
      <c r="S15" s="124"/>
      <c r="T15" s="167"/>
      <c r="U15" s="168"/>
      <c r="V15" s="169"/>
      <c r="W15" s="170"/>
      <c r="X15" s="159"/>
      <c r="Y15" s="159"/>
    </row>
    <row r="16" spans="2:25" ht="22.5" customHeight="1" x14ac:dyDescent="0.25">
      <c r="B16" s="154" t="s">
        <v>53</v>
      </c>
      <c r="C16" s="492">
        <f>FGP!E15</f>
        <v>2.4906650861521529</v>
      </c>
      <c r="D16" s="437">
        <f t="shared" si="0"/>
        <v>123695.11599173618</v>
      </c>
      <c r="E16" s="474">
        <f>FGP!K15</f>
        <v>3.6698605401833797</v>
      </c>
      <c r="F16" s="437">
        <f t="shared" si="1"/>
        <v>91129.037724774942</v>
      </c>
      <c r="G16" s="474">
        <f>FGP!Q15</f>
        <v>6.1028756370273953</v>
      </c>
      <c r="H16" s="474">
        <f t="shared" si="3"/>
        <v>0.61028756370273962</v>
      </c>
      <c r="I16" s="437">
        <f t="shared" si="4"/>
        <v>50515.015313405631</v>
      </c>
      <c r="J16" s="475">
        <f t="shared" si="2"/>
        <v>265339.16902991675</v>
      </c>
      <c r="K16" s="166"/>
      <c r="L16" s="208" t="e">
        <f>#REF!+#REF!+H16</f>
        <v>#REF!</v>
      </c>
      <c r="M16" s="208"/>
      <c r="N16" s="206" t="e">
        <f>[1]Datos!K$64*L16%*22.5%</f>
        <v>#REF!</v>
      </c>
      <c r="O16" s="207"/>
      <c r="P16" s="148"/>
      <c r="Q16" s="167"/>
      <c r="R16" s="124"/>
      <c r="S16" s="124"/>
      <c r="T16" s="167"/>
      <c r="U16" s="168"/>
      <c r="V16" s="169"/>
      <c r="W16" s="170"/>
      <c r="X16" s="159"/>
      <c r="Y16" s="159"/>
    </row>
    <row r="17" spans="2:25" ht="22.5" customHeight="1" x14ac:dyDescent="0.25">
      <c r="B17" s="154" t="s">
        <v>54</v>
      </c>
      <c r="C17" s="492">
        <f>FGP!E16</f>
        <v>1.5731764108208799</v>
      </c>
      <c r="D17" s="437">
        <f t="shared" si="0"/>
        <v>78129.428036662299</v>
      </c>
      <c r="E17" s="474">
        <f>FGP!K16</f>
        <v>5.3388578162098188</v>
      </c>
      <c r="F17" s="437">
        <f t="shared" si="1"/>
        <v>132573.15094493562</v>
      </c>
      <c r="G17" s="474">
        <f>FGP!Q16</f>
        <v>6.2222546126311373</v>
      </c>
      <c r="H17" s="474">
        <f t="shared" si="3"/>
        <v>0.62222546126311373</v>
      </c>
      <c r="I17" s="437">
        <f t="shared" si="4"/>
        <v>51503.144703448226</v>
      </c>
      <c r="J17" s="475">
        <f t="shared" si="2"/>
        <v>262205.72368504613</v>
      </c>
      <c r="K17" s="166"/>
      <c r="L17" s="208" t="e">
        <f>#REF!+#REF!+H17</f>
        <v>#REF!</v>
      </c>
      <c r="M17" s="208"/>
      <c r="N17" s="206" t="e">
        <f>[1]Datos!K$64*L17%*22.5%</f>
        <v>#REF!</v>
      </c>
      <c r="O17" s="207"/>
      <c r="P17" s="148"/>
      <c r="Q17" s="167"/>
      <c r="R17" s="124"/>
      <c r="S17" s="124"/>
      <c r="T17" s="167"/>
      <c r="U17" s="168"/>
      <c r="V17" s="169"/>
      <c r="W17" s="170"/>
      <c r="X17" s="159"/>
      <c r="Y17" s="159"/>
    </row>
    <row r="18" spans="2:25" ht="22.5" customHeight="1" x14ac:dyDescent="0.25">
      <c r="B18" s="154" t="s">
        <v>55</v>
      </c>
      <c r="C18" s="492">
        <f>FGP!E17</f>
        <v>1.212057067863342</v>
      </c>
      <c r="D18" s="437">
        <f t="shared" si="0"/>
        <v>60194.981826954841</v>
      </c>
      <c r="E18" s="474">
        <f>FGP!K17</f>
        <v>4.3657304127334173</v>
      </c>
      <c r="F18" s="437">
        <f t="shared" si="1"/>
        <v>108408.70030944035</v>
      </c>
      <c r="G18" s="474">
        <f>FGP!Q17</f>
        <v>7.7758983513831499</v>
      </c>
      <c r="H18" s="474">
        <f t="shared" si="3"/>
        <v>0.77758983513831503</v>
      </c>
      <c r="I18" s="437">
        <f t="shared" si="4"/>
        <v>64363.039271586938</v>
      </c>
      <c r="J18" s="475">
        <f t="shared" si="2"/>
        <v>232966.72140798211</v>
      </c>
      <c r="K18" s="166"/>
      <c r="L18" s="208" t="e">
        <f>#REF!+#REF!+H18</f>
        <v>#REF!</v>
      </c>
      <c r="M18" s="208"/>
      <c r="N18" s="206" t="e">
        <f>[1]Datos!K$64*L18%*22.5%</f>
        <v>#REF!</v>
      </c>
      <c r="O18" s="207"/>
      <c r="P18" s="148"/>
      <c r="Q18" s="167"/>
      <c r="R18" s="124"/>
      <c r="S18" s="124"/>
      <c r="T18" s="167"/>
      <c r="U18" s="168"/>
      <c r="V18" s="169"/>
      <c r="W18" s="170"/>
      <c r="X18" s="159"/>
      <c r="Y18" s="159"/>
    </row>
    <row r="19" spans="2:25" ht="22.5" customHeight="1" x14ac:dyDescent="0.25">
      <c r="B19" s="154" t="s">
        <v>56</v>
      </c>
      <c r="C19" s="492">
        <f>FGP!E18</f>
        <v>2.8704119215951907</v>
      </c>
      <c r="D19" s="437">
        <f t="shared" si="0"/>
        <v>142554.66845376149</v>
      </c>
      <c r="E19" s="474">
        <f>FGP!K18</f>
        <v>5.3935803675282523</v>
      </c>
      <c r="F19" s="437">
        <f t="shared" si="1"/>
        <v>133932.00733440602</v>
      </c>
      <c r="G19" s="474">
        <f>FGP!Q18</f>
        <v>4.7418020786144206</v>
      </c>
      <c r="H19" s="474">
        <f t="shared" si="3"/>
        <v>0.4741802078614421</v>
      </c>
      <c r="I19" s="437">
        <f t="shared" si="4"/>
        <v>39249.07189015211</v>
      </c>
      <c r="J19" s="475">
        <f t="shared" si="2"/>
        <v>315735.74767831963</v>
      </c>
      <c r="K19" s="166"/>
      <c r="L19" s="208" t="e">
        <f>#REF!+#REF!+H19</f>
        <v>#REF!</v>
      </c>
      <c r="M19" s="208"/>
      <c r="N19" s="206" t="e">
        <f>[1]Datos!K$64*L19%*22.5%</f>
        <v>#REF!</v>
      </c>
      <c r="O19" s="207"/>
      <c r="P19" s="148"/>
      <c r="Q19" s="167"/>
      <c r="R19" s="124"/>
      <c r="S19" s="124"/>
      <c r="T19" s="167"/>
      <c r="U19" s="168"/>
      <c r="V19" s="169"/>
      <c r="W19" s="170"/>
      <c r="X19" s="159"/>
      <c r="Y19" s="159"/>
    </row>
    <row r="20" spans="2:25" ht="22.5" customHeight="1" x14ac:dyDescent="0.25">
      <c r="B20" s="154" t="s">
        <v>57</v>
      </c>
      <c r="C20" s="492">
        <f>FGP!E19</f>
        <v>2.0950002116760511</v>
      </c>
      <c r="D20" s="437">
        <f t="shared" si="0"/>
        <v>104045.01818682106</v>
      </c>
      <c r="E20" s="474">
        <f>FGP!K19</f>
        <v>3.8982193047755054</v>
      </c>
      <c r="F20" s="437">
        <f t="shared" si="1"/>
        <v>96799.584124409783</v>
      </c>
      <c r="G20" s="474">
        <f>FGP!Q19</f>
        <v>6.5276590900357645</v>
      </c>
      <c r="H20" s="474">
        <f t="shared" si="3"/>
        <v>0.65276590900357645</v>
      </c>
      <c r="I20" s="437">
        <f t="shared" si="4"/>
        <v>54031.05331087183</v>
      </c>
      <c r="J20" s="475">
        <f t="shared" si="2"/>
        <v>254875.65562210267</v>
      </c>
      <c r="K20" s="166"/>
      <c r="L20" s="208" t="e">
        <f>#REF!+#REF!+H20</f>
        <v>#REF!</v>
      </c>
      <c r="M20" s="208"/>
      <c r="N20" s="206" t="e">
        <f>[1]Datos!K$64*L20%*22.5%</f>
        <v>#REF!</v>
      </c>
      <c r="O20" s="207"/>
      <c r="P20" s="148"/>
      <c r="Q20" s="167"/>
      <c r="R20" s="124"/>
      <c r="S20" s="124"/>
      <c r="T20" s="167"/>
      <c r="U20" s="168"/>
      <c r="V20" s="169"/>
      <c r="W20" s="170"/>
      <c r="X20" s="159"/>
      <c r="Y20" s="159"/>
    </row>
    <row r="21" spans="2:25" ht="22.5" customHeight="1" x14ac:dyDescent="0.25">
      <c r="B21" s="154" t="s">
        <v>58</v>
      </c>
      <c r="C21" s="492">
        <f>FGP!E20</f>
        <v>3.7237204182718768</v>
      </c>
      <c r="D21" s="437">
        <f t="shared" si="0"/>
        <v>184932.94486675839</v>
      </c>
      <c r="E21" s="474">
        <f>FGP!K20</f>
        <v>4.2812802377187422</v>
      </c>
      <c r="F21" s="437">
        <f t="shared" si="1"/>
        <v>106311.65517638698</v>
      </c>
      <c r="G21" s="474">
        <f>FGP!Q20</f>
        <v>4.5015258438003798</v>
      </c>
      <c r="H21" s="474">
        <f t="shared" si="3"/>
        <v>0.45015258438003802</v>
      </c>
      <c r="I21" s="437">
        <f t="shared" si="4"/>
        <v>37260.245900083159</v>
      </c>
      <c r="J21" s="475">
        <f t="shared" si="2"/>
        <v>328504.84594322852</v>
      </c>
      <c r="K21" s="166"/>
      <c r="L21" s="208" t="e">
        <f>#REF!+#REF!+H21</f>
        <v>#REF!</v>
      </c>
      <c r="M21" s="208"/>
      <c r="N21" s="206" t="e">
        <f>[1]Datos!K$64*L21%*22.5%</f>
        <v>#REF!</v>
      </c>
      <c r="O21" s="207"/>
      <c r="P21" s="148"/>
      <c r="Q21" s="167"/>
      <c r="R21" s="124"/>
      <c r="S21" s="124"/>
      <c r="T21" s="167"/>
      <c r="U21" s="168"/>
      <c r="V21" s="169"/>
      <c r="W21" s="170"/>
      <c r="X21" s="159"/>
      <c r="Y21" s="159"/>
    </row>
    <row r="22" spans="2:25" ht="22.5" customHeight="1" x14ac:dyDescent="0.25">
      <c r="B22" s="154" t="s">
        <v>59</v>
      </c>
      <c r="C22" s="492">
        <f>FGP!E21</f>
        <v>0.63494348249439059</v>
      </c>
      <c r="D22" s="437">
        <f t="shared" si="0"/>
        <v>31533.508118779901</v>
      </c>
      <c r="E22" s="474">
        <f>FGP!K21</f>
        <v>3.7400396107266571</v>
      </c>
      <c r="F22" s="437">
        <f t="shared" si="1"/>
        <v>92871.706443926989</v>
      </c>
      <c r="G22" s="474">
        <f>FGP!Q21</f>
        <v>10.5385059506544</v>
      </c>
      <c r="H22" s="474">
        <f t="shared" si="3"/>
        <v>1.05385059506544</v>
      </c>
      <c r="I22" s="437">
        <f t="shared" si="4"/>
        <v>87229.827566504886</v>
      </c>
      <c r="J22" s="475">
        <f t="shared" si="2"/>
        <v>211635.04212921177</v>
      </c>
      <c r="K22" s="166"/>
      <c r="L22" s="208" t="e">
        <f>#REF!+#REF!+H22</f>
        <v>#REF!</v>
      </c>
      <c r="M22" s="208"/>
      <c r="N22" s="206" t="e">
        <f>[1]Datos!K$64*L22%*22.5%</f>
        <v>#REF!</v>
      </c>
      <c r="O22" s="207"/>
      <c r="P22" s="148"/>
      <c r="Q22" s="167"/>
      <c r="R22" s="124"/>
      <c r="S22" s="124"/>
      <c r="T22" s="167"/>
      <c r="U22" s="168"/>
      <c r="V22" s="169"/>
      <c r="W22" s="170"/>
      <c r="X22" s="159"/>
      <c r="Y22" s="159"/>
    </row>
    <row r="23" spans="2:25" ht="22.5" customHeight="1" x14ac:dyDescent="0.25">
      <c r="B23" s="154" t="s">
        <v>60</v>
      </c>
      <c r="C23" s="492">
        <f>FGP!E22</f>
        <v>1.9878074594640365</v>
      </c>
      <c r="D23" s="437">
        <f t="shared" si="0"/>
        <v>98721.452207573777</v>
      </c>
      <c r="E23" s="474">
        <f>FGP!K22</f>
        <v>3.9545894760560363</v>
      </c>
      <c r="F23" s="437">
        <f t="shared" si="1"/>
        <v>98199.353791111833</v>
      </c>
      <c r="G23" s="474">
        <f>FGP!Q22</f>
        <v>6.6577276449410565</v>
      </c>
      <c r="H23" s="474">
        <f t="shared" si="3"/>
        <v>0.66577276449410572</v>
      </c>
      <c r="I23" s="437">
        <f t="shared" si="4"/>
        <v>55107.663000076267</v>
      </c>
      <c r="J23" s="475">
        <f t="shared" si="2"/>
        <v>252028.46899876185</v>
      </c>
      <c r="K23" s="166"/>
      <c r="L23" s="208" t="e">
        <f>#REF!+#REF!+H23</f>
        <v>#REF!</v>
      </c>
      <c r="M23" s="208"/>
      <c r="N23" s="206" t="e">
        <f>[1]Datos!K$64*L23%*22.5%</f>
        <v>#REF!</v>
      </c>
      <c r="O23" s="207"/>
      <c r="P23" s="148"/>
      <c r="Q23" s="167"/>
      <c r="R23" s="124"/>
      <c r="S23" s="124"/>
      <c r="T23" s="167"/>
      <c r="U23" s="168"/>
      <c r="V23" s="169"/>
      <c r="W23" s="170"/>
      <c r="X23" s="159"/>
      <c r="Y23" s="159"/>
    </row>
    <row r="24" spans="2:25" ht="22.5" customHeight="1" x14ac:dyDescent="0.25">
      <c r="B24" s="154" t="s">
        <v>61</v>
      </c>
      <c r="C24" s="492">
        <f>FGP!E23</f>
        <v>8.2824605224164927</v>
      </c>
      <c r="D24" s="437">
        <f t="shared" si="0"/>
        <v>411335.88000787428</v>
      </c>
      <c r="E24" s="474">
        <f>FGP!K23</f>
        <v>4.1105991141026745</v>
      </c>
      <c r="F24" s="437">
        <f t="shared" si="1"/>
        <v>102073.34519631935</v>
      </c>
      <c r="G24" s="474">
        <f>FGP!Q23</f>
        <v>2.5536064207652163</v>
      </c>
      <c r="H24" s="474">
        <f t="shared" si="3"/>
        <v>0.25536064207652165</v>
      </c>
      <c r="I24" s="437">
        <f t="shared" si="4"/>
        <v>21136.833702906206</v>
      </c>
      <c r="J24" s="475">
        <f t="shared" si="2"/>
        <v>534546.05890709977</v>
      </c>
      <c r="K24" s="166"/>
      <c r="L24" s="208" t="e">
        <f>#REF!+#REF!+H24</f>
        <v>#REF!</v>
      </c>
      <c r="M24" s="208"/>
      <c r="N24" s="206" t="e">
        <f>[1]Datos!K$64*L24%*22.5%</f>
        <v>#REF!</v>
      </c>
      <c r="O24" s="207"/>
      <c r="P24" s="148"/>
      <c r="Q24" s="167"/>
      <c r="R24" s="124"/>
      <c r="S24" s="124"/>
      <c r="T24" s="167"/>
      <c r="U24" s="168"/>
      <c r="V24" s="169"/>
      <c r="W24" s="170"/>
      <c r="X24" s="159"/>
      <c r="Y24" s="159"/>
    </row>
    <row r="25" spans="2:25" ht="22.5" customHeight="1" x14ac:dyDescent="0.25">
      <c r="B25" s="154" t="s">
        <v>62</v>
      </c>
      <c r="C25" s="492">
        <f>FGP!E24</f>
        <v>3.3629397569958934</v>
      </c>
      <c r="D25" s="437">
        <f t="shared" si="0"/>
        <v>167015.31877072944</v>
      </c>
      <c r="E25" s="474">
        <f>FGP!K24</f>
        <v>3.8577092314136294</v>
      </c>
      <c r="F25" s="437">
        <f t="shared" si="1"/>
        <v>95793.648350228206</v>
      </c>
      <c r="G25" s="474">
        <f>FGP!Q24</f>
        <v>4.9885858474460525</v>
      </c>
      <c r="H25" s="474">
        <f t="shared" si="3"/>
        <v>0.49885858474460526</v>
      </c>
      <c r="I25" s="437">
        <f t="shared" si="4"/>
        <v>41291.762353315797</v>
      </c>
      <c r="J25" s="475">
        <f t="shared" si="2"/>
        <v>304100.72947427345</v>
      </c>
      <c r="K25" s="166"/>
      <c r="L25" s="208" t="e">
        <f>#REF!+#REF!+H25</f>
        <v>#REF!</v>
      </c>
      <c r="M25" s="208"/>
      <c r="N25" s="206" t="e">
        <f>[1]Datos!K$64*L25%*22.5%</f>
        <v>#REF!</v>
      </c>
      <c r="O25" s="207"/>
      <c r="P25" s="148"/>
      <c r="Q25" s="167"/>
      <c r="R25" s="124"/>
      <c r="S25" s="124"/>
      <c r="T25" s="167"/>
      <c r="U25" s="168"/>
      <c r="V25" s="169"/>
      <c r="W25" s="170"/>
      <c r="X25" s="159"/>
      <c r="Y25" s="159"/>
    </row>
    <row r="26" spans="2:25" ht="22.5" customHeight="1" x14ac:dyDescent="0.25">
      <c r="B26" s="154" t="s">
        <v>63</v>
      </c>
      <c r="C26" s="492">
        <f>FGP!E25</f>
        <v>35.020363236103471</v>
      </c>
      <c r="D26" s="437">
        <f t="shared" si="0"/>
        <v>1739233.3945849205</v>
      </c>
      <c r="E26" s="474">
        <f>FGP!K25</f>
        <v>2.9827350571419644</v>
      </c>
      <c r="F26" s="437">
        <f t="shared" si="1"/>
        <v>74066.513582479762</v>
      </c>
      <c r="G26" s="474">
        <f>FGP!Q25</f>
        <v>0.72301613652345198</v>
      </c>
      <c r="H26" s="474">
        <f t="shared" si="3"/>
        <v>7.2301613652345206E-2</v>
      </c>
      <c r="I26" s="437">
        <f t="shared" si="4"/>
        <v>5984.5838880818746</v>
      </c>
      <c r="J26" s="475">
        <f t="shared" si="2"/>
        <v>1819284.492055482</v>
      </c>
      <c r="K26" s="166"/>
      <c r="L26" s="208" t="e">
        <f>#REF!+#REF!+H26</f>
        <v>#REF!</v>
      </c>
      <c r="M26" s="208"/>
      <c r="N26" s="206" t="e">
        <f>[1]Datos!K$64*L26%*22.5%</f>
        <v>#REF!</v>
      </c>
      <c r="O26" s="207"/>
      <c r="P26" s="148"/>
      <c r="Q26" s="167"/>
      <c r="R26" s="124"/>
      <c r="S26" s="124"/>
      <c r="T26" s="167"/>
      <c r="U26" s="168"/>
      <c r="V26" s="169"/>
      <c r="W26" s="170"/>
      <c r="X26" s="159"/>
      <c r="Y26" s="159"/>
    </row>
    <row r="27" spans="2:25" ht="22.5" customHeight="1" x14ac:dyDescent="0.25">
      <c r="B27" s="154" t="s">
        <v>64</v>
      </c>
      <c r="C27" s="492">
        <f>FGP!E26</f>
        <v>2.5879513991786967</v>
      </c>
      <c r="D27" s="437">
        <f t="shared" si="0"/>
        <v>128526.69364588714</v>
      </c>
      <c r="E27" s="474">
        <f>FGP!K26</f>
        <v>5.5676442231633141</v>
      </c>
      <c r="F27" s="437">
        <f t="shared" si="1"/>
        <v>138254.31645024361</v>
      </c>
      <c r="G27" s="474">
        <f>FGP!Q26</f>
        <v>4.9143119050681587</v>
      </c>
      <c r="H27" s="474">
        <f t="shared" si="3"/>
        <v>0.49143119050681588</v>
      </c>
      <c r="I27" s="437">
        <f t="shared" si="4"/>
        <v>40676.978510459412</v>
      </c>
      <c r="J27" s="475">
        <f t="shared" si="2"/>
        <v>307457.9886065902</v>
      </c>
      <c r="K27" s="166"/>
      <c r="L27" s="208" t="e">
        <f>#REF!+#REF!+H27</f>
        <v>#REF!</v>
      </c>
      <c r="M27" s="208"/>
      <c r="N27" s="206" t="e">
        <f>[1]Datos!K$64*L27%*22.5%</f>
        <v>#REF!</v>
      </c>
      <c r="O27" s="207"/>
      <c r="P27" s="148"/>
      <c r="Q27" s="167"/>
      <c r="R27" s="124"/>
      <c r="S27" s="124"/>
      <c r="T27" s="167"/>
      <c r="U27" s="168"/>
      <c r="V27" s="169"/>
      <c r="W27" s="170"/>
      <c r="X27" s="159"/>
      <c r="Y27" s="159"/>
    </row>
    <row r="28" spans="2:25" ht="22.5" customHeight="1" thickBot="1" x14ac:dyDescent="0.3">
      <c r="B28" s="154" t="s">
        <v>65</v>
      </c>
      <c r="C28" s="492">
        <f>FGP!E27</f>
        <v>4.8616061978747727</v>
      </c>
      <c r="D28" s="437">
        <f t="shared" si="0"/>
        <v>241444.32179812036</v>
      </c>
      <c r="E28" s="474">
        <f>FGP!K27</f>
        <v>5.9196567149170862</v>
      </c>
      <c r="F28" s="437">
        <f t="shared" si="1"/>
        <v>146995.40055667632</v>
      </c>
      <c r="G28" s="474">
        <f>FGP!Q27</f>
        <v>3.3751571183650202</v>
      </c>
      <c r="H28" s="474">
        <f t="shared" si="3"/>
        <v>0.33751571183650203</v>
      </c>
      <c r="I28" s="437">
        <f t="shared" si="4"/>
        <v>27937.01259205156</v>
      </c>
      <c r="J28" s="475">
        <f t="shared" si="2"/>
        <v>416376.7349468483</v>
      </c>
      <c r="K28" s="204"/>
      <c r="L28" s="167" t="e">
        <f>#REF!+#REF!+H28</f>
        <v>#REF!</v>
      </c>
      <c r="M28" s="167"/>
      <c r="N28" s="206" t="e">
        <f>[1]Datos!K$64*L28%*22.5%</f>
        <v>#REF!</v>
      </c>
      <c r="O28" s="207"/>
      <c r="P28" s="148"/>
      <c r="Q28" s="167"/>
      <c r="R28" s="124"/>
      <c r="S28" s="124"/>
      <c r="T28" s="167"/>
      <c r="U28" s="168"/>
      <c r="V28" s="169"/>
      <c r="W28" s="170"/>
      <c r="X28" s="159"/>
      <c r="Y28" s="159"/>
    </row>
    <row r="29" spans="2:25" ht="15.75" thickBot="1" x14ac:dyDescent="0.3">
      <c r="B29" s="490" t="s">
        <v>66</v>
      </c>
      <c r="C29" s="493">
        <v>99.999999999999986</v>
      </c>
      <c r="D29" s="73">
        <f>Datos!K59*'Incentivo ISAN'!C7</f>
        <v>4966348.8150000004</v>
      </c>
      <c r="E29" s="216">
        <v>100.00000000000003</v>
      </c>
      <c r="F29" s="73">
        <f>Datos!K59*'Incentivo ISAN'!E7</f>
        <v>2483174.4075000002</v>
      </c>
      <c r="G29" s="216">
        <v>99.999999999999972</v>
      </c>
      <c r="H29" s="217">
        <f t="shared" si="3"/>
        <v>9.9999999999999982</v>
      </c>
      <c r="I29" s="73">
        <f>Datos!K59*'Incentivo ISAN'!G7</f>
        <v>827724.80250000011</v>
      </c>
      <c r="J29" s="210">
        <f>SUM(J9:J28)</f>
        <v>8277248.0250000013</v>
      </c>
      <c r="K29" s="211"/>
      <c r="L29" s="212" t="e">
        <f>#REF!+#REF!+H29</f>
        <v>#REF!</v>
      </c>
      <c r="M29" s="212"/>
      <c r="N29" s="213" t="e">
        <f>SUM(N9:N28)</f>
        <v>#REF!</v>
      </c>
      <c r="O29" s="214"/>
      <c r="P29" s="215"/>
      <c r="Q29" s="172"/>
      <c r="R29" s="171"/>
      <c r="S29" s="171"/>
      <c r="T29" s="172"/>
      <c r="U29" s="151"/>
      <c r="V29" s="169"/>
      <c r="W29" s="170"/>
      <c r="X29" s="159"/>
      <c r="Y29" s="159"/>
    </row>
    <row r="30" spans="2:25" x14ac:dyDescent="0.25">
      <c r="B30" s="869" t="s">
        <v>300</v>
      </c>
      <c r="C30" s="869"/>
      <c r="D30" s="869"/>
      <c r="E30" s="869"/>
      <c r="F30" s="869"/>
      <c r="G30" s="869"/>
      <c r="H30" s="11"/>
      <c r="I30" s="11"/>
      <c r="J30" s="11"/>
      <c r="K30" s="11"/>
      <c r="L30" s="173"/>
      <c r="M30" s="173"/>
      <c r="N30" s="157"/>
      <c r="O30" s="157"/>
      <c r="P30" s="167"/>
      <c r="Q30" s="158"/>
      <c r="R30" s="158"/>
      <c r="S30" s="159"/>
      <c r="T30" s="159"/>
      <c r="U30" s="159"/>
      <c r="V30" s="159"/>
      <c r="W30" s="159"/>
      <c r="X30" s="159"/>
      <c r="Y30" s="159"/>
    </row>
    <row r="31" spans="2:25" ht="24.75" customHeight="1" x14ac:dyDescent="0.25">
      <c r="B31" s="848" t="s">
        <v>373</v>
      </c>
      <c r="C31" s="849"/>
      <c r="D31" s="849"/>
      <c r="E31" s="849"/>
      <c r="F31" s="849"/>
      <c r="G31" s="849"/>
      <c r="H31" s="849"/>
      <c r="I31" s="849"/>
      <c r="J31" s="849"/>
      <c r="K31" s="11"/>
      <c r="L31" s="11"/>
      <c r="M31" s="11"/>
      <c r="N31" s="174"/>
      <c r="O31" s="11"/>
      <c r="P31" s="11"/>
      <c r="Q31" s="79"/>
      <c r="R31" s="79"/>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2"/>
  <sheetViews>
    <sheetView workbookViewId="0">
      <selection activeCell="B32" sqref="B32"/>
    </sheetView>
  </sheetViews>
  <sheetFormatPr baseColWidth="10" defaultRowHeight="15" x14ac:dyDescent="0.25"/>
  <cols>
    <col min="1" max="1" width="22.85546875" bestFit="1" customWidth="1"/>
    <col min="2" max="7" width="17" bestFit="1" customWidth="1"/>
  </cols>
  <sheetData>
    <row r="1" spans="1:8" x14ac:dyDescent="0.25">
      <c r="A1" s="934"/>
      <c r="B1" s="934"/>
      <c r="C1" s="934"/>
      <c r="D1" s="934"/>
      <c r="E1" s="934"/>
      <c r="F1" s="934"/>
      <c r="G1" s="934"/>
    </row>
    <row r="2" spans="1:8" x14ac:dyDescent="0.25">
      <c r="A2" s="107"/>
      <c r="B2" s="107"/>
      <c r="C2" s="107"/>
      <c r="D2" s="107"/>
      <c r="E2" s="107"/>
      <c r="F2" s="107"/>
      <c r="G2" s="107"/>
    </row>
    <row r="3" spans="1:8" x14ac:dyDescent="0.25">
      <c r="A3" s="934" t="s">
        <v>273</v>
      </c>
      <c r="B3" s="934"/>
      <c r="C3" s="934"/>
      <c r="D3" s="934"/>
      <c r="E3" s="934"/>
      <c r="F3" s="934"/>
      <c r="G3" s="934"/>
    </row>
    <row r="4" spans="1:8" x14ac:dyDescent="0.25">
      <c r="A4" s="107"/>
      <c r="B4" s="107"/>
      <c r="C4" s="107"/>
      <c r="D4" s="107"/>
      <c r="E4" s="107"/>
      <c r="F4" s="107"/>
      <c r="G4" s="107"/>
    </row>
    <row r="5" spans="1:8" x14ac:dyDescent="0.25">
      <c r="A5" s="934" t="s">
        <v>274</v>
      </c>
      <c r="B5" s="934"/>
      <c r="C5" s="934"/>
      <c r="D5" s="934"/>
      <c r="E5" s="934"/>
      <c r="F5" s="934"/>
      <c r="G5" s="934"/>
    </row>
    <row r="6" spans="1:8" ht="15.75" thickBot="1" x14ac:dyDescent="0.3"/>
    <row r="7" spans="1:8" x14ac:dyDescent="0.25">
      <c r="A7" s="945" t="s">
        <v>239</v>
      </c>
      <c r="B7" s="947">
        <v>2017</v>
      </c>
      <c r="C7" s="948"/>
      <c r="D7" s="949"/>
      <c r="E7" s="947">
        <v>2018</v>
      </c>
      <c r="F7" s="948"/>
      <c r="G7" s="950"/>
      <c r="H7" s="218"/>
    </row>
    <row r="8" spans="1:8" ht="15.75" thickBot="1" x14ac:dyDescent="0.3">
      <c r="A8" s="946"/>
      <c r="B8" s="197" t="s">
        <v>266</v>
      </c>
      <c r="C8" s="193" t="s">
        <v>275</v>
      </c>
      <c r="D8" s="193" t="s">
        <v>84</v>
      </c>
      <c r="E8" s="197" t="s">
        <v>266</v>
      </c>
      <c r="F8" s="193" t="s">
        <v>275</v>
      </c>
      <c r="G8" s="486" t="s">
        <v>84</v>
      </c>
      <c r="H8" s="151"/>
    </row>
    <row r="9" spans="1:8" x14ac:dyDescent="0.25">
      <c r="A9" s="476" t="s">
        <v>148</v>
      </c>
      <c r="B9" s="477">
        <v>4600138</v>
      </c>
      <c r="C9" s="478">
        <v>6164575</v>
      </c>
      <c r="D9" s="479">
        <f t="shared" ref="D9:D28" si="0">B9+C9</f>
        <v>10764713</v>
      </c>
      <c r="E9" s="480">
        <v>3847011</v>
      </c>
      <c r="F9" s="478">
        <v>7359180</v>
      </c>
      <c r="G9" s="479">
        <f t="shared" ref="G9:G28" si="1">E9+F9</f>
        <v>11206191</v>
      </c>
    </row>
    <row r="10" spans="1:8" x14ac:dyDescent="0.25">
      <c r="A10" s="481" t="s">
        <v>149</v>
      </c>
      <c r="B10" s="482">
        <v>1868560</v>
      </c>
      <c r="C10" s="175">
        <v>4098808</v>
      </c>
      <c r="D10" s="483">
        <f t="shared" si="0"/>
        <v>5967368</v>
      </c>
      <c r="E10" s="484">
        <v>2203748</v>
      </c>
      <c r="F10" s="175">
        <v>4292333</v>
      </c>
      <c r="G10" s="483">
        <f t="shared" si="1"/>
        <v>6496081</v>
      </c>
    </row>
    <row r="11" spans="1:8" x14ac:dyDescent="0.25">
      <c r="A11" s="481" t="s">
        <v>150</v>
      </c>
      <c r="B11" s="482">
        <v>272482</v>
      </c>
      <c r="C11" s="175">
        <v>801471</v>
      </c>
      <c r="D11" s="483">
        <f t="shared" si="0"/>
        <v>1073953</v>
      </c>
      <c r="E11" s="484">
        <v>2211427</v>
      </c>
      <c r="F11" s="175">
        <v>1095526</v>
      </c>
      <c r="G11" s="483">
        <f t="shared" si="1"/>
        <v>3306953</v>
      </c>
    </row>
    <row r="12" spans="1:8" x14ac:dyDescent="0.25">
      <c r="A12" s="481" t="s">
        <v>151</v>
      </c>
      <c r="B12" s="482">
        <v>154339475</v>
      </c>
      <c r="C12" s="175">
        <v>114466230</v>
      </c>
      <c r="D12" s="483">
        <f t="shared" si="0"/>
        <v>268805705</v>
      </c>
      <c r="E12" s="484">
        <v>170774917</v>
      </c>
      <c r="F12" s="175">
        <v>122745095</v>
      </c>
      <c r="G12" s="483">
        <f t="shared" si="1"/>
        <v>293520012</v>
      </c>
    </row>
    <row r="13" spans="1:8" x14ac:dyDescent="0.25">
      <c r="A13" s="481" t="s">
        <v>152</v>
      </c>
      <c r="B13" s="482">
        <v>15872814</v>
      </c>
      <c r="C13" s="175">
        <v>9610927</v>
      </c>
      <c r="D13" s="483">
        <f t="shared" si="0"/>
        <v>25483741</v>
      </c>
      <c r="E13" s="484">
        <v>15746604</v>
      </c>
      <c r="F13" s="175">
        <v>10379876</v>
      </c>
      <c r="G13" s="483">
        <f t="shared" si="1"/>
        <v>26126480</v>
      </c>
    </row>
    <row r="14" spans="1:8" x14ac:dyDescent="0.25">
      <c r="A14" s="481" t="s">
        <v>153</v>
      </c>
      <c r="B14" s="482">
        <v>23315</v>
      </c>
      <c r="C14" s="175">
        <v>123172</v>
      </c>
      <c r="D14" s="483">
        <f t="shared" si="0"/>
        <v>146487</v>
      </c>
      <c r="E14" s="484">
        <v>33467</v>
      </c>
      <c r="F14" s="175">
        <v>82331</v>
      </c>
      <c r="G14" s="483">
        <f t="shared" si="1"/>
        <v>115798</v>
      </c>
    </row>
    <row r="15" spans="1:8" x14ac:dyDescent="0.25">
      <c r="A15" s="481" t="s">
        <v>154</v>
      </c>
      <c r="B15" s="482">
        <v>10148</v>
      </c>
      <c r="C15" s="175">
        <v>27360</v>
      </c>
      <c r="D15" s="483">
        <f t="shared" si="0"/>
        <v>37508</v>
      </c>
      <c r="E15" s="484">
        <v>13603</v>
      </c>
      <c r="F15" s="175">
        <v>78610</v>
      </c>
      <c r="G15" s="483">
        <f t="shared" si="1"/>
        <v>92213</v>
      </c>
    </row>
    <row r="16" spans="1:8" x14ac:dyDescent="0.25">
      <c r="A16" s="481" t="s">
        <v>155</v>
      </c>
      <c r="B16" s="482">
        <v>9995787</v>
      </c>
      <c r="C16" s="175">
        <v>2921966</v>
      </c>
      <c r="D16" s="483">
        <f t="shared" si="0"/>
        <v>12917753</v>
      </c>
      <c r="E16" s="484">
        <v>5696258</v>
      </c>
      <c r="F16" s="175">
        <v>5984263</v>
      </c>
      <c r="G16" s="483">
        <f t="shared" si="1"/>
        <v>11680521</v>
      </c>
    </row>
    <row r="17" spans="1:8" x14ac:dyDescent="0.25">
      <c r="A17" s="481" t="s">
        <v>156</v>
      </c>
      <c r="B17" s="482">
        <v>1515005</v>
      </c>
      <c r="C17" s="175">
        <v>1085491</v>
      </c>
      <c r="D17" s="483">
        <f t="shared" si="0"/>
        <v>2600496</v>
      </c>
      <c r="E17" s="484">
        <v>2229122</v>
      </c>
      <c r="F17" s="175">
        <v>1191698</v>
      </c>
      <c r="G17" s="483">
        <f t="shared" si="1"/>
        <v>3420820</v>
      </c>
    </row>
    <row r="18" spans="1:8" x14ac:dyDescent="0.25">
      <c r="A18" s="481" t="s">
        <v>157</v>
      </c>
      <c r="B18" s="482">
        <v>2011785</v>
      </c>
      <c r="C18" s="175">
        <v>188489</v>
      </c>
      <c r="D18" s="483">
        <f t="shared" si="0"/>
        <v>2200274</v>
      </c>
      <c r="E18" s="484">
        <v>2096161</v>
      </c>
      <c r="F18" s="175">
        <v>270627</v>
      </c>
      <c r="G18" s="483">
        <f t="shared" si="1"/>
        <v>2366788</v>
      </c>
    </row>
    <row r="19" spans="1:8" x14ac:dyDescent="0.25">
      <c r="A19" s="481" t="s">
        <v>158</v>
      </c>
      <c r="B19" s="482">
        <v>1207189</v>
      </c>
      <c r="C19" s="175">
        <v>552064</v>
      </c>
      <c r="D19" s="483">
        <f t="shared" si="0"/>
        <v>1759253</v>
      </c>
      <c r="E19" s="484">
        <v>1480024</v>
      </c>
      <c r="F19" s="175">
        <v>857904</v>
      </c>
      <c r="G19" s="483">
        <f t="shared" si="1"/>
        <v>2337928</v>
      </c>
    </row>
    <row r="20" spans="1:8" x14ac:dyDescent="0.25">
      <c r="A20" s="481" t="s">
        <v>159</v>
      </c>
      <c r="B20" s="482">
        <v>443946</v>
      </c>
      <c r="C20" s="175">
        <v>2361354</v>
      </c>
      <c r="D20" s="483">
        <f t="shared" si="0"/>
        <v>2805300</v>
      </c>
      <c r="E20" s="484">
        <v>532672</v>
      </c>
      <c r="F20" s="175">
        <v>2161785</v>
      </c>
      <c r="G20" s="483">
        <f t="shared" si="1"/>
        <v>2694457</v>
      </c>
    </row>
    <row r="21" spans="1:8" x14ac:dyDescent="0.25">
      <c r="A21" s="481" t="s">
        <v>160</v>
      </c>
      <c r="B21" s="482">
        <v>4722861</v>
      </c>
      <c r="C21" s="175">
        <v>1595892</v>
      </c>
      <c r="D21" s="483">
        <f t="shared" si="0"/>
        <v>6318753</v>
      </c>
      <c r="E21" s="484">
        <v>4431219</v>
      </c>
      <c r="F21" s="175">
        <v>2234250</v>
      </c>
      <c r="G21" s="483">
        <f t="shared" si="1"/>
        <v>6665469</v>
      </c>
    </row>
    <row r="22" spans="1:8" x14ac:dyDescent="0.25">
      <c r="A22" s="481" t="s">
        <v>161</v>
      </c>
      <c r="B22" s="482">
        <v>878681</v>
      </c>
      <c r="C22" s="175">
        <v>1097834</v>
      </c>
      <c r="D22" s="483">
        <f t="shared" si="0"/>
        <v>1976515</v>
      </c>
      <c r="E22" s="484">
        <v>1074974</v>
      </c>
      <c r="F22" s="175">
        <v>746412</v>
      </c>
      <c r="G22" s="483">
        <f t="shared" si="1"/>
        <v>1821386</v>
      </c>
    </row>
    <row r="23" spans="1:8" x14ac:dyDescent="0.25">
      <c r="A23" s="481" t="s">
        <v>162</v>
      </c>
      <c r="B23" s="482">
        <v>2361650</v>
      </c>
      <c r="C23" s="175">
        <v>2335873</v>
      </c>
      <c r="D23" s="483">
        <f t="shared" si="0"/>
        <v>4697523</v>
      </c>
      <c r="E23" s="484">
        <v>2058103</v>
      </c>
      <c r="F23" s="175">
        <v>2519056</v>
      </c>
      <c r="G23" s="483">
        <f t="shared" si="1"/>
        <v>4577159</v>
      </c>
    </row>
    <row r="24" spans="1:8" x14ac:dyDescent="0.25">
      <c r="A24" s="481" t="s">
        <v>163</v>
      </c>
      <c r="B24" s="482">
        <v>4200863</v>
      </c>
      <c r="C24" s="175">
        <v>11809025</v>
      </c>
      <c r="D24" s="483">
        <f t="shared" si="0"/>
        <v>16009888</v>
      </c>
      <c r="E24" s="484">
        <v>4902160</v>
      </c>
      <c r="F24" s="175">
        <v>11312920</v>
      </c>
      <c r="G24" s="483">
        <f t="shared" si="1"/>
        <v>16215080</v>
      </c>
    </row>
    <row r="25" spans="1:8" x14ac:dyDescent="0.25">
      <c r="A25" s="481" t="s">
        <v>164</v>
      </c>
      <c r="B25" s="482">
        <v>2916876</v>
      </c>
      <c r="C25" s="175">
        <v>1649032</v>
      </c>
      <c r="D25" s="483">
        <f t="shared" si="0"/>
        <v>4565908</v>
      </c>
      <c r="E25" s="484">
        <v>2588653</v>
      </c>
      <c r="F25" s="175">
        <v>1751273</v>
      </c>
      <c r="G25" s="483">
        <f t="shared" si="1"/>
        <v>4339926</v>
      </c>
    </row>
    <row r="26" spans="1:8" x14ac:dyDescent="0.25">
      <c r="A26" s="481" t="s">
        <v>165</v>
      </c>
      <c r="B26" s="482">
        <v>54817026</v>
      </c>
      <c r="C26" s="175">
        <v>285002518</v>
      </c>
      <c r="D26" s="483">
        <f t="shared" si="0"/>
        <v>339819544</v>
      </c>
      <c r="E26" s="484">
        <v>68254405</v>
      </c>
      <c r="F26" s="175">
        <v>181485941</v>
      </c>
      <c r="G26" s="483">
        <f t="shared" si="1"/>
        <v>249740346</v>
      </c>
    </row>
    <row r="27" spans="1:8" x14ac:dyDescent="0.25">
      <c r="A27" s="481" t="s">
        <v>166</v>
      </c>
      <c r="B27" s="482">
        <v>824105</v>
      </c>
      <c r="C27" s="175">
        <v>1076489</v>
      </c>
      <c r="D27" s="483">
        <f t="shared" si="0"/>
        <v>1900594</v>
      </c>
      <c r="E27" s="484">
        <v>1341794</v>
      </c>
      <c r="F27" s="175">
        <v>1265479</v>
      </c>
      <c r="G27" s="483">
        <f t="shared" si="1"/>
        <v>2607273</v>
      </c>
    </row>
    <row r="28" spans="1:8" ht="15.75" thickBot="1" x14ac:dyDescent="0.3">
      <c r="A28" s="485" t="s">
        <v>167</v>
      </c>
      <c r="B28" s="198">
        <v>8125909</v>
      </c>
      <c r="C28" s="194">
        <v>17789868</v>
      </c>
      <c r="D28" s="195">
        <f t="shared" si="0"/>
        <v>25915777</v>
      </c>
      <c r="E28" s="199">
        <v>10345095</v>
      </c>
      <c r="F28" s="194">
        <v>27454438</v>
      </c>
      <c r="G28" s="195">
        <f t="shared" si="1"/>
        <v>37799533</v>
      </c>
    </row>
    <row r="29" spans="1:8" ht="15.75" thickBot="1" x14ac:dyDescent="0.3">
      <c r="A29" s="196" t="s">
        <v>66</v>
      </c>
      <c r="B29" s="198">
        <f>SUM(B9:B28)</f>
        <v>271008615</v>
      </c>
      <c r="C29" s="194">
        <f t="shared" ref="C29" si="2">SUM(C9:C28)</f>
        <v>464758438</v>
      </c>
      <c r="D29" s="195">
        <f>SUM(D9:D28)</f>
        <v>735767053</v>
      </c>
      <c r="E29" s="199">
        <f>SUM(E9:E28)</f>
        <v>301861417</v>
      </c>
      <c r="F29" s="199">
        <f>SUM(F9:F28)</f>
        <v>385268997</v>
      </c>
      <c r="G29" s="195">
        <f>SUM(G9:G28)</f>
        <v>687130414</v>
      </c>
      <c r="H29" s="219"/>
    </row>
    <row r="32" spans="1:8" x14ac:dyDescent="0.25">
      <c r="C32" s="126"/>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3" tint="0.79998168889431442"/>
    <pageSetUpPr fitToPage="1"/>
  </sheetPr>
  <dimension ref="B1:D33"/>
  <sheetViews>
    <sheetView zoomScale="90" zoomScaleNormal="90" workbookViewId="0">
      <selection activeCell="E25" sqref="E25"/>
    </sheetView>
  </sheetViews>
  <sheetFormatPr baseColWidth="10" defaultRowHeight="15" x14ac:dyDescent="0.25"/>
  <cols>
    <col min="1" max="1" width="3.5703125" customWidth="1"/>
    <col min="2" max="2" width="29" customWidth="1"/>
    <col min="3" max="3" width="30.5703125" customWidth="1"/>
  </cols>
  <sheetData>
    <row r="1" spans="2:4" x14ac:dyDescent="0.25">
      <c r="B1" s="934"/>
      <c r="C1" s="934"/>
    </row>
    <row r="2" spans="2:4" x14ac:dyDescent="0.25">
      <c r="B2" s="11"/>
      <c r="C2" s="11"/>
    </row>
    <row r="3" spans="2:4" x14ac:dyDescent="0.25">
      <c r="B3" s="806" t="s">
        <v>171</v>
      </c>
      <c r="C3" s="806"/>
    </row>
    <row r="4" spans="2:4" x14ac:dyDescent="0.25">
      <c r="B4" s="806"/>
      <c r="C4" s="806"/>
    </row>
    <row r="5" spans="2:4" ht="15.75" thickBot="1" x14ac:dyDescent="0.3">
      <c r="B5" s="15"/>
      <c r="C5" s="15"/>
    </row>
    <row r="6" spans="2:4" ht="15" customHeight="1" x14ac:dyDescent="0.25">
      <c r="B6" s="812" t="s">
        <v>85</v>
      </c>
      <c r="C6" s="942" t="s">
        <v>276</v>
      </c>
    </row>
    <row r="7" spans="2:4" x14ac:dyDescent="0.25">
      <c r="B7" s="813"/>
      <c r="C7" s="951"/>
    </row>
    <row r="8" spans="2:4" x14ac:dyDescent="0.25">
      <c r="B8" s="813"/>
      <c r="C8" s="951"/>
    </row>
    <row r="9" spans="2:4" ht="15.75" thickBot="1" x14ac:dyDescent="0.3">
      <c r="B9" s="814"/>
      <c r="C9" s="952"/>
    </row>
    <row r="10" spans="2:4" ht="24" customHeight="1" x14ac:dyDescent="0.25">
      <c r="B10" s="154" t="s">
        <v>46</v>
      </c>
      <c r="C10" s="487">
        <v>37309</v>
      </c>
      <c r="D10" s="81"/>
    </row>
    <row r="11" spans="2:4" ht="24" customHeight="1" x14ac:dyDescent="0.25">
      <c r="B11" s="154" t="s">
        <v>47</v>
      </c>
      <c r="C11" s="488">
        <v>15953</v>
      </c>
      <c r="D11" s="81"/>
    </row>
    <row r="12" spans="2:4" ht="24" customHeight="1" x14ac:dyDescent="0.25">
      <c r="B12" s="154" t="s">
        <v>48</v>
      </c>
      <c r="C12" s="475">
        <v>11851</v>
      </c>
      <c r="D12" s="81"/>
    </row>
    <row r="13" spans="2:4" ht="24" customHeight="1" x14ac:dyDescent="0.25">
      <c r="B13" s="154" t="s">
        <v>49</v>
      </c>
      <c r="C13" s="475">
        <v>150250</v>
      </c>
      <c r="D13" s="81"/>
    </row>
    <row r="14" spans="2:4" ht="24" customHeight="1" x14ac:dyDescent="0.25">
      <c r="B14" s="154" t="s">
        <v>50</v>
      </c>
      <c r="C14" s="475">
        <v>75520</v>
      </c>
      <c r="D14" s="81"/>
    </row>
    <row r="15" spans="2:4" ht="24" customHeight="1" x14ac:dyDescent="0.25">
      <c r="B15" s="154" t="s">
        <v>51</v>
      </c>
      <c r="C15" s="475">
        <v>42514</v>
      </c>
      <c r="D15" s="81"/>
    </row>
    <row r="16" spans="2:4" ht="24" customHeight="1" x14ac:dyDescent="0.25">
      <c r="B16" s="154" t="s">
        <v>52</v>
      </c>
      <c r="C16" s="475">
        <v>12614</v>
      </c>
      <c r="D16" s="81"/>
    </row>
    <row r="17" spans="2:4" ht="24" customHeight="1" x14ac:dyDescent="0.25">
      <c r="B17" s="154" t="s">
        <v>53</v>
      </c>
      <c r="C17" s="475">
        <v>29416</v>
      </c>
      <c r="D17" s="81"/>
    </row>
    <row r="18" spans="2:4" ht="24" customHeight="1" x14ac:dyDescent="0.25">
      <c r="B18" s="154" t="s">
        <v>54</v>
      </c>
      <c r="C18" s="475">
        <v>18580</v>
      </c>
      <c r="D18" s="81"/>
    </row>
    <row r="19" spans="2:4" ht="24" customHeight="1" x14ac:dyDescent="0.25">
      <c r="B19" s="154" t="s">
        <v>55</v>
      </c>
      <c r="C19" s="475">
        <v>14315</v>
      </c>
      <c r="D19" s="81"/>
    </row>
    <row r="20" spans="2:4" ht="24" customHeight="1" x14ac:dyDescent="0.25">
      <c r="B20" s="154" t="s">
        <v>56</v>
      </c>
      <c r="C20" s="475">
        <v>33901</v>
      </c>
      <c r="D20" s="81"/>
    </row>
    <row r="21" spans="2:4" ht="24" customHeight="1" x14ac:dyDescent="0.25">
      <c r="B21" s="154" t="s">
        <v>57</v>
      </c>
      <c r="C21" s="475">
        <v>24743</v>
      </c>
      <c r="D21" s="81"/>
    </row>
    <row r="22" spans="2:4" ht="24" customHeight="1" x14ac:dyDescent="0.25">
      <c r="B22" s="154" t="s">
        <v>58</v>
      </c>
      <c r="C22" s="475">
        <v>43979</v>
      </c>
      <c r="D22" s="81"/>
    </row>
    <row r="23" spans="2:4" ht="24" customHeight="1" x14ac:dyDescent="0.25">
      <c r="B23" s="154" t="s">
        <v>59</v>
      </c>
      <c r="C23" s="475">
        <v>7499</v>
      </c>
      <c r="D23" s="81"/>
    </row>
    <row r="24" spans="2:4" ht="24" customHeight="1" x14ac:dyDescent="0.25">
      <c r="B24" s="154" t="s">
        <v>60</v>
      </c>
      <c r="C24" s="475">
        <v>23477</v>
      </c>
      <c r="D24" s="81"/>
    </row>
    <row r="25" spans="2:4" ht="24" customHeight="1" x14ac:dyDescent="0.25">
      <c r="B25" s="154" t="s">
        <v>61</v>
      </c>
      <c r="C25" s="475">
        <v>97820</v>
      </c>
      <c r="D25" s="81"/>
    </row>
    <row r="26" spans="2:4" ht="24" customHeight="1" x14ac:dyDescent="0.25">
      <c r="B26" s="154" t="s">
        <v>62</v>
      </c>
      <c r="C26" s="475">
        <v>39718</v>
      </c>
      <c r="D26" s="81"/>
    </row>
    <row r="27" spans="2:4" ht="24" customHeight="1" x14ac:dyDescent="0.25">
      <c r="B27" s="154" t="s">
        <v>63</v>
      </c>
      <c r="C27" s="475">
        <v>413608</v>
      </c>
      <c r="D27" s="81"/>
    </row>
    <row r="28" spans="2:4" ht="24" customHeight="1" x14ac:dyDescent="0.25">
      <c r="B28" s="154" t="s">
        <v>64</v>
      </c>
      <c r="C28" s="475">
        <v>30565</v>
      </c>
      <c r="D28" s="81"/>
    </row>
    <row r="29" spans="2:4" ht="24" customHeight="1" thickBot="1" x14ac:dyDescent="0.3">
      <c r="B29" s="154" t="s">
        <v>65</v>
      </c>
      <c r="C29" s="475">
        <v>57418</v>
      </c>
      <c r="D29" s="81"/>
    </row>
    <row r="30" spans="2:4" ht="24" customHeight="1" thickBot="1" x14ac:dyDescent="0.3">
      <c r="B30" s="156" t="s">
        <v>66</v>
      </c>
      <c r="C30" s="489">
        <f>SUM(C10:C29)</f>
        <v>1181050</v>
      </c>
    </row>
    <row r="31" spans="2:4" x14ac:dyDescent="0.25">
      <c r="B31" s="11"/>
      <c r="C31" s="11"/>
    </row>
    <row r="32" spans="2:4" x14ac:dyDescent="0.25">
      <c r="B32" s="11" t="s">
        <v>172</v>
      </c>
      <c r="C32" s="11"/>
    </row>
    <row r="33" spans="2:2" x14ac:dyDescent="0.25">
      <c r="B33" s="164" t="s">
        <v>173</v>
      </c>
    </row>
  </sheetData>
  <mergeCells count="5">
    <mergeCell ref="B3:C3"/>
    <mergeCell ref="B4:C4"/>
    <mergeCell ref="B6:B9"/>
    <mergeCell ref="C6:C9"/>
    <mergeCell ref="B1:C1"/>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5" tint="0.79998168889431442"/>
  </sheetPr>
  <dimension ref="A1:R31"/>
  <sheetViews>
    <sheetView zoomScaleNormal="100" workbookViewId="0">
      <selection activeCell="C13" sqref="C13"/>
    </sheetView>
  </sheetViews>
  <sheetFormatPr baseColWidth="10" defaultColWidth="11.42578125" defaultRowHeight="12.75" x14ac:dyDescent="0.2"/>
  <cols>
    <col min="1" max="1" width="16.85546875" style="389" customWidth="1"/>
    <col min="2" max="2" width="9.28515625" style="389" bestFit="1" customWidth="1"/>
    <col min="3" max="8" width="10" style="389" bestFit="1" customWidth="1"/>
    <col min="9" max="10" width="11.7109375" style="389" bestFit="1" customWidth="1"/>
    <col min="11" max="11" width="15.28515625" style="389" bestFit="1" customWidth="1"/>
    <col min="12" max="14" width="11.7109375" style="389" bestFit="1" customWidth="1"/>
    <col min="15" max="15" width="13" style="389" bestFit="1" customWidth="1"/>
    <col min="16" max="16384" width="11.42578125" style="389"/>
  </cols>
  <sheetData>
    <row r="1" spans="1:18" ht="15.75" x14ac:dyDescent="0.25">
      <c r="A1" s="953" t="s">
        <v>282</v>
      </c>
      <c r="B1" s="953"/>
      <c r="C1" s="953"/>
      <c r="D1" s="953"/>
      <c r="E1" s="953"/>
      <c r="F1" s="953"/>
      <c r="G1" s="953"/>
      <c r="H1" s="953"/>
      <c r="I1" s="953"/>
      <c r="J1" s="953"/>
      <c r="K1" s="953"/>
      <c r="L1" s="953"/>
      <c r="M1" s="953"/>
      <c r="N1" s="953"/>
      <c r="O1" s="953"/>
    </row>
    <row r="2" spans="1:18" x14ac:dyDescent="0.2">
      <c r="A2" s="954" t="s">
        <v>283</v>
      </c>
      <c r="B2" s="954"/>
      <c r="C2" s="954"/>
      <c r="D2" s="954"/>
      <c r="E2" s="954"/>
      <c r="F2" s="954"/>
      <c r="G2" s="954"/>
      <c r="H2" s="954"/>
      <c r="I2" s="954"/>
      <c r="J2" s="954"/>
      <c r="K2" s="954"/>
      <c r="L2" s="954"/>
      <c r="M2" s="954"/>
      <c r="N2" s="954"/>
      <c r="O2" s="954"/>
    </row>
    <row r="3" spans="1:18" x14ac:dyDescent="0.2">
      <c r="A3" s="954" t="s">
        <v>284</v>
      </c>
      <c r="B3" s="954"/>
      <c r="C3" s="954"/>
      <c r="D3" s="954"/>
      <c r="E3" s="954"/>
      <c r="F3" s="954"/>
      <c r="G3" s="954"/>
      <c r="H3" s="954"/>
      <c r="I3" s="954"/>
      <c r="J3" s="954"/>
      <c r="K3" s="954"/>
      <c r="L3" s="954"/>
      <c r="M3" s="954"/>
      <c r="N3" s="954"/>
      <c r="O3" s="954"/>
    </row>
    <row r="4" spans="1:18" x14ac:dyDescent="0.2">
      <c r="A4" s="955" t="s">
        <v>285</v>
      </c>
      <c r="B4" s="955"/>
      <c r="C4" s="955"/>
      <c r="D4" s="955"/>
      <c r="E4" s="955"/>
      <c r="F4" s="955"/>
      <c r="G4" s="955"/>
      <c r="H4" s="955"/>
      <c r="I4" s="955"/>
      <c r="J4" s="955"/>
      <c r="K4" s="955"/>
      <c r="L4" s="955"/>
      <c r="M4" s="955"/>
      <c r="N4" s="955"/>
      <c r="O4" s="955"/>
    </row>
    <row r="5" spans="1:18" ht="13.5" thickBot="1" x14ac:dyDescent="0.25"/>
    <row r="6" spans="1:18" ht="23.25" thickBot="1" x14ac:dyDescent="0.25">
      <c r="A6" s="390" t="s">
        <v>14</v>
      </c>
      <c r="B6" s="391" t="s">
        <v>286</v>
      </c>
      <c r="C6" s="390" t="s">
        <v>1</v>
      </c>
      <c r="D6" s="392" t="s">
        <v>2</v>
      </c>
      <c r="E6" s="390" t="s">
        <v>3</v>
      </c>
      <c r="F6" s="392" t="s">
        <v>4</v>
      </c>
      <c r="G6" s="390" t="s">
        <v>5</v>
      </c>
      <c r="H6" s="390" t="s">
        <v>6</v>
      </c>
      <c r="I6" s="390" t="s">
        <v>7</v>
      </c>
      <c r="J6" s="392" t="s">
        <v>8</v>
      </c>
      <c r="K6" s="390" t="s">
        <v>9</v>
      </c>
      <c r="L6" s="392" t="s">
        <v>10</v>
      </c>
      <c r="M6" s="390" t="s">
        <v>11</v>
      </c>
      <c r="N6" s="390" t="s">
        <v>12</v>
      </c>
      <c r="O6" s="393" t="s">
        <v>170</v>
      </c>
    </row>
    <row r="7" spans="1:18" x14ac:dyDescent="0.2">
      <c r="A7" s="394" t="s">
        <v>287</v>
      </c>
      <c r="B7" s="395">
        <v>3.9399999999999998E-2</v>
      </c>
      <c r="C7" s="396">
        <v>56963.546951054755</v>
      </c>
      <c r="D7" s="397">
        <v>86906.697217008536</v>
      </c>
      <c r="E7" s="396">
        <v>59746.246585840105</v>
      </c>
      <c r="F7" s="397">
        <v>67867.982827057887</v>
      </c>
      <c r="G7" s="396">
        <v>64660.762935787861</v>
      </c>
      <c r="H7" s="396">
        <v>67599.96159390721</v>
      </c>
      <c r="I7" s="398">
        <v>68696.572300394633</v>
      </c>
      <c r="J7" s="397">
        <v>71269.225402021868</v>
      </c>
      <c r="K7" s="396">
        <v>68949.326174828399</v>
      </c>
      <c r="L7" s="397">
        <v>67391.350673871697</v>
      </c>
      <c r="M7" s="396">
        <v>65860.428313614349</v>
      </c>
      <c r="N7" s="396">
        <v>66121.899024612852</v>
      </c>
      <c r="O7" s="399">
        <f>SUM(C7:N7)</f>
        <v>812034</v>
      </c>
      <c r="R7" s="759"/>
    </row>
    <row r="8" spans="1:18" x14ac:dyDescent="0.2">
      <c r="A8" s="394" t="s">
        <v>149</v>
      </c>
      <c r="B8" s="400">
        <v>5.7799999999999997E-2</v>
      </c>
      <c r="C8" s="396">
        <v>83565.812532257987</v>
      </c>
      <c r="D8" s="397">
        <v>127492.56596809882</v>
      </c>
      <c r="E8" s="396">
        <v>87648.047021866951</v>
      </c>
      <c r="F8" s="397">
        <v>99562.675314820954</v>
      </c>
      <c r="G8" s="396">
        <v>94857.667454023816</v>
      </c>
      <c r="H8" s="396">
        <v>99169.486805275053</v>
      </c>
      <c r="I8" s="396">
        <v>100778.22027824391</v>
      </c>
      <c r="J8" s="397">
        <v>104552.31543748386</v>
      </c>
      <c r="K8" s="396">
        <v>101149.01149505284</v>
      </c>
      <c r="L8" s="397">
        <v>98863.453526644254</v>
      </c>
      <c r="M8" s="396">
        <v>96617.582652967249</v>
      </c>
      <c r="N8" s="396">
        <v>97001.161513264538</v>
      </c>
      <c r="O8" s="399">
        <f t="shared" ref="O8:O26" si="0">SUM(C8:N8)</f>
        <v>1191258.0000000002</v>
      </c>
      <c r="R8" s="759"/>
    </row>
    <row r="9" spans="1:18" x14ac:dyDescent="0.2">
      <c r="A9" s="394" t="s">
        <v>150</v>
      </c>
      <c r="B9" s="400">
        <v>6.1199999999999997E-2</v>
      </c>
      <c r="C9" s="396">
        <v>88481.44856356729</v>
      </c>
      <c r="D9" s="397">
        <v>134992.12867210462</v>
      </c>
      <c r="E9" s="396">
        <v>92803.814493741476</v>
      </c>
      <c r="F9" s="397">
        <v>105419.30327451631</v>
      </c>
      <c r="G9" s="396">
        <v>100437.53024543698</v>
      </c>
      <c r="H9" s="396">
        <v>105002.98602911476</v>
      </c>
      <c r="I9" s="396">
        <v>106706.3508828465</v>
      </c>
      <c r="J9" s="397">
        <v>110702.45163968879</v>
      </c>
      <c r="K9" s="396">
        <v>107098.95334770301</v>
      </c>
      <c r="L9" s="397">
        <v>104678.95079291746</v>
      </c>
      <c r="M9" s="396">
        <v>102300.96986784769</v>
      </c>
      <c r="N9" s="396">
        <v>102707.1121905154</v>
      </c>
      <c r="O9" s="399">
        <f t="shared" si="0"/>
        <v>1261332.0000000005</v>
      </c>
      <c r="R9" s="759"/>
    </row>
    <row r="10" spans="1:18" x14ac:dyDescent="0.2">
      <c r="A10" s="394" t="s">
        <v>288</v>
      </c>
      <c r="B10" s="400">
        <v>5.0799999999999998E-2</v>
      </c>
      <c r="C10" s="396">
        <v>73445.385408974151</v>
      </c>
      <c r="D10" s="397">
        <v>112052.28981279273</v>
      </c>
      <c r="E10" s="396">
        <v>77033.231638595869</v>
      </c>
      <c r="F10" s="397">
        <v>87504.911868389361</v>
      </c>
      <c r="G10" s="396">
        <v>83369.714648173191</v>
      </c>
      <c r="H10" s="396">
        <v>87159.341344428598</v>
      </c>
      <c r="I10" s="396">
        <v>88573.245504062128</v>
      </c>
      <c r="J10" s="397">
        <v>91890.270315297239</v>
      </c>
      <c r="K10" s="396">
        <v>88899.131210184845</v>
      </c>
      <c r="L10" s="397">
        <v>86890.370919611218</v>
      </c>
      <c r="M10" s="396">
        <v>84916.491328213437</v>
      </c>
      <c r="N10" s="396">
        <v>85253.616001277493</v>
      </c>
      <c r="O10" s="399">
        <f t="shared" si="0"/>
        <v>1046988.0000000002</v>
      </c>
      <c r="R10" s="759"/>
    </row>
    <row r="11" spans="1:18" x14ac:dyDescent="0.2">
      <c r="A11" s="394" t="s">
        <v>152</v>
      </c>
      <c r="B11" s="400">
        <v>3.0700000000000002E-2</v>
      </c>
      <c r="C11" s="396">
        <v>44385.301812116275</v>
      </c>
      <c r="D11" s="397">
        <v>67716.63970969955</v>
      </c>
      <c r="E11" s="396">
        <v>46553.54746663176</v>
      </c>
      <c r="F11" s="397">
        <v>52881.905400778611</v>
      </c>
      <c r="G11" s="396">
        <v>50382.878734230646</v>
      </c>
      <c r="H11" s="396">
        <v>52673.066521140907</v>
      </c>
      <c r="I11" s="396">
        <v>53527.532223911563</v>
      </c>
      <c r="J11" s="397">
        <v>55532.112178732787</v>
      </c>
      <c r="K11" s="396">
        <v>53724.474963635337</v>
      </c>
      <c r="L11" s="397">
        <v>52510.519433702058</v>
      </c>
      <c r="M11" s="396">
        <v>51317.643381420326</v>
      </c>
      <c r="N11" s="396">
        <v>51521.378174000376</v>
      </c>
      <c r="O11" s="399">
        <f t="shared" si="0"/>
        <v>632727.00000000023</v>
      </c>
      <c r="R11" s="759"/>
    </row>
    <row r="12" spans="1:18" x14ac:dyDescent="0.2">
      <c r="A12" s="394" t="s">
        <v>289</v>
      </c>
      <c r="B12" s="400">
        <v>9.5100000000000004E-2</v>
      </c>
      <c r="C12" s="396">
        <v>137493.23134632761</v>
      </c>
      <c r="D12" s="397">
        <v>209767.18033851555</v>
      </c>
      <c r="E12" s="396">
        <v>144209.84899272575</v>
      </c>
      <c r="F12" s="397">
        <v>163813.32910794936</v>
      </c>
      <c r="G12" s="396">
        <v>156072.0445480565</v>
      </c>
      <c r="H12" s="396">
        <v>163166.40476092836</v>
      </c>
      <c r="I12" s="396">
        <v>165813.30014638402</v>
      </c>
      <c r="J12" s="397">
        <v>172022.92730284977</v>
      </c>
      <c r="K12" s="396">
        <v>166423.37358442086</v>
      </c>
      <c r="L12" s="397">
        <v>162662.87941840605</v>
      </c>
      <c r="M12" s="396">
        <v>158967.68356915549</v>
      </c>
      <c r="N12" s="396">
        <v>159598.7968842813</v>
      </c>
      <c r="O12" s="399">
        <f t="shared" si="0"/>
        <v>1960011.0000000005</v>
      </c>
      <c r="R12" s="759"/>
    </row>
    <row r="13" spans="1:18" x14ac:dyDescent="0.2">
      <c r="A13" s="394" t="s">
        <v>154</v>
      </c>
      <c r="B13" s="400">
        <v>9.3299999999999994E-2</v>
      </c>
      <c r="C13" s="396">
        <v>134890.83580034031</v>
      </c>
      <c r="D13" s="397">
        <v>205796.82361286538</v>
      </c>
      <c r="E13" s="396">
        <v>141480.32503702745</v>
      </c>
      <c r="F13" s="397">
        <v>160712.76136458124</v>
      </c>
      <c r="G13" s="396">
        <v>153117.99954083774</v>
      </c>
      <c r="H13" s="396">
        <v>160078.08164242495</v>
      </c>
      <c r="I13" s="396">
        <v>162674.87806159441</v>
      </c>
      <c r="J13" s="397">
        <v>168766.9728428589</v>
      </c>
      <c r="K13" s="396">
        <v>163273.40436831192</v>
      </c>
      <c r="L13" s="397">
        <v>159584.08674802611</v>
      </c>
      <c r="M13" s="396">
        <v>155958.83151421876</v>
      </c>
      <c r="N13" s="396">
        <v>156577.99946691317</v>
      </c>
      <c r="O13" s="399">
        <f t="shared" si="0"/>
        <v>1922913.0000000005</v>
      </c>
      <c r="R13" s="759"/>
    </row>
    <row r="14" spans="1:18" x14ac:dyDescent="0.2">
      <c r="A14" s="394" t="s">
        <v>155</v>
      </c>
      <c r="B14" s="400">
        <v>4.5199999999999997E-2</v>
      </c>
      <c r="C14" s="396">
        <v>65349.043710347076</v>
      </c>
      <c r="D14" s="397">
        <v>99700.068888547859</v>
      </c>
      <c r="E14" s="396">
        <v>68541.379331978998</v>
      </c>
      <c r="F14" s="397">
        <v>77858.701111244067</v>
      </c>
      <c r="G14" s="396">
        <v>74179.352403492667</v>
      </c>
      <c r="H14" s="396">
        <v>77551.224975751422</v>
      </c>
      <c r="I14" s="396">
        <v>78809.265684716695</v>
      </c>
      <c r="J14" s="397">
        <v>81760.634217547937</v>
      </c>
      <c r="K14" s="396">
        <v>79099.226982290449</v>
      </c>
      <c r="L14" s="397">
        <v>77311.90483398478</v>
      </c>
      <c r="M14" s="396">
        <v>75555.618268410384</v>
      </c>
      <c r="N14" s="396">
        <v>75855.579591687841</v>
      </c>
      <c r="O14" s="399">
        <f t="shared" si="0"/>
        <v>931572.00000000035</v>
      </c>
      <c r="R14" s="759"/>
    </row>
    <row r="15" spans="1:18" x14ac:dyDescent="0.2">
      <c r="A15" s="394" t="s">
        <v>156</v>
      </c>
      <c r="B15" s="400">
        <v>5.0799999999999998E-2</v>
      </c>
      <c r="C15" s="396">
        <v>73445.385408974151</v>
      </c>
      <c r="D15" s="397">
        <v>112052.28981279273</v>
      </c>
      <c r="E15" s="396">
        <v>77033.231638595869</v>
      </c>
      <c r="F15" s="397">
        <v>87504.911868389361</v>
      </c>
      <c r="G15" s="396">
        <v>83369.714648173191</v>
      </c>
      <c r="H15" s="396">
        <v>87159.341344428598</v>
      </c>
      <c r="I15" s="396">
        <v>88573.245504062128</v>
      </c>
      <c r="J15" s="397">
        <v>91890.270315297239</v>
      </c>
      <c r="K15" s="396">
        <v>88899.131210184845</v>
      </c>
      <c r="L15" s="397">
        <v>86890.370919611218</v>
      </c>
      <c r="M15" s="396">
        <v>84916.491328213437</v>
      </c>
      <c r="N15" s="396">
        <v>85253.616001277493</v>
      </c>
      <c r="O15" s="399">
        <f t="shared" si="0"/>
        <v>1046988.0000000002</v>
      </c>
      <c r="R15" s="759"/>
    </row>
    <row r="16" spans="1:18" x14ac:dyDescent="0.2">
      <c r="A16" s="394" t="s">
        <v>157</v>
      </c>
      <c r="B16" s="400">
        <v>8.9200000000000002E-2</v>
      </c>
      <c r="C16" s="396">
        <v>128963.15705670265</v>
      </c>
      <c r="D16" s="397">
        <v>196753.23329332899</v>
      </c>
      <c r="E16" s="396">
        <v>135263.07602682582</v>
      </c>
      <c r="F16" s="397">
        <v>153650.35706024274</v>
      </c>
      <c r="G16" s="396">
        <v>146389.34146883953</v>
      </c>
      <c r="H16" s="396">
        <v>153043.5678725006</v>
      </c>
      <c r="I16" s="396">
        <v>155526.24997957365</v>
      </c>
      <c r="J16" s="397">
        <v>161350.6321284353</v>
      </c>
      <c r="K16" s="396">
        <v>156098.47448717497</v>
      </c>
      <c r="L16" s="397">
        <v>152571.28122104963</v>
      </c>
      <c r="M16" s="396">
        <v>149105.33516686296</v>
      </c>
      <c r="N16" s="396">
        <v>149697.29423846363</v>
      </c>
      <c r="O16" s="399">
        <f t="shared" si="0"/>
        <v>1838412.0000000005</v>
      </c>
      <c r="R16" s="759"/>
    </row>
    <row r="17" spans="1:18" x14ac:dyDescent="0.2">
      <c r="A17" s="394" t="s">
        <v>158</v>
      </c>
      <c r="B17" s="400">
        <v>5.0200000000000002E-2</v>
      </c>
      <c r="C17" s="396">
        <v>72577.9202269784</v>
      </c>
      <c r="D17" s="397">
        <v>110728.83757090935</v>
      </c>
      <c r="E17" s="396">
        <v>76123.390320029779</v>
      </c>
      <c r="F17" s="397">
        <v>86471.389287266647</v>
      </c>
      <c r="G17" s="396">
        <v>82385.032979100273</v>
      </c>
      <c r="H17" s="396">
        <v>86129.900304927476</v>
      </c>
      <c r="I17" s="396">
        <v>87527.104809132259</v>
      </c>
      <c r="J17" s="397">
        <v>90804.952161966954</v>
      </c>
      <c r="K17" s="396">
        <v>87849.141471481882</v>
      </c>
      <c r="L17" s="397">
        <v>85864.106696151255</v>
      </c>
      <c r="M17" s="396">
        <v>83913.540643234548</v>
      </c>
      <c r="N17" s="396">
        <v>84246.683528821464</v>
      </c>
      <c r="O17" s="399">
        <f t="shared" si="0"/>
        <v>1034622.0000000002</v>
      </c>
      <c r="R17" s="759"/>
    </row>
    <row r="18" spans="1:18" x14ac:dyDescent="0.2">
      <c r="A18" s="394" t="s">
        <v>159</v>
      </c>
      <c r="B18" s="400">
        <v>4.2900000000000001E-2</v>
      </c>
      <c r="C18" s="396">
        <v>62023.760512696681</v>
      </c>
      <c r="D18" s="397">
        <v>94626.835294661578</v>
      </c>
      <c r="E18" s="396">
        <v>65053.654277475653</v>
      </c>
      <c r="F18" s="397">
        <v>73896.864550273691</v>
      </c>
      <c r="G18" s="396">
        <v>70404.739338713189</v>
      </c>
      <c r="H18" s="396">
        <v>73605.034324330452</v>
      </c>
      <c r="I18" s="396">
        <v>74799.05968748554</v>
      </c>
      <c r="J18" s="397">
        <v>77600.247963115195</v>
      </c>
      <c r="K18" s="396">
        <v>75074.266317262402</v>
      </c>
      <c r="L18" s="397">
        <v>73377.891977388223</v>
      </c>
      <c r="M18" s="396">
        <v>71710.973975991277</v>
      </c>
      <c r="N18" s="396">
        <v>71995.671780606383</v>
      </c>
      <c r="O18" s="399">
        <f t="shared" si="0"/>
        <v>884169.00000000023</v>
      </c>
      <c r="R18" s="759"/>
    </row>
    <row r="19" spans="1:18" x14ac:dyDescent="0.2">
      <c r="A19" s="394" t="s">
        <v>160</v>
      </c>
      <c r="B19" s="400">
        <v>3.04E-2</v>
      </c>
      <c r="C19" s="396">
        <v>43951.569221118392</v>
      </c>
      <c r="D19" s="397">
        <v>67054.91358875786</v>
      </c>
      <c r="E19" s="396">
        <v>46098.626807348708</v>
      </c>
      <c r="F19" s="397">
        <v>52365.144110217254</v>
      </c>
      <c r="G19" s="396">
        <v>49890.537899694187</v>
      </c>
      <c r="H19" s="396">
        <v>52158.346001390346</v>
      </c>
      <c r="I19" s="396">
        <v>53004.461876446629</v>
      </c>
      <c r="J19" s="397">
        <v>54989.453102067637</v>
      </c>
      <c r="K19" s="396">
        <v>53199.480094283848</v>
      </c>
      <c r="L19" s="397">
        <v>51997.38732197207</v>
      </c>
      <c r="M19" s="396">
        <v>50816.168038930875</v>
      </c>
      <c r="N19" s="396">
        <v>51017.911937772355</v>
      </c>
      <c r="O19" s="399">
        <f t="shared" si="0"/>
        <v>626544.00000000023</v>
      </c>
      <c r="R19" s="759"/>
    </row>
    <row r="20" spans="1:18" x14ac:dyDescent="0.2">
      <c r="A20" s="394" t="s">
        <v>290</v>
      </c>
      <c r="B20" s="400">
        <v>6.7000000000000004E-2</v>
      </c>
      <c r="C20" s="396">
        <v>96866.94532285961</v>
      </c>
      <c r="D20" s="397">
        <v>147785.50034364397</v>
      </c>
      <c r="E20" s="396">
        <v>101598.94723988039</v>
      </c>
      <c r="F20" s="397">
        <v>115410.02155870252</v>
      </c>
      <c r="G20" s="396">
        <v>109956.1197131418</v>
      </c>
      <c r="H20" s="396">
        <v>114954.24941095899</v>
      </c>
      <c r="I20" s="396">
        <v>116819.04426716856</v>
      </c>
      <c r="J20" s="397">
        <v>121193.86045521488</v>
      </c>
      <c r="K20" s="396">
        <v>117248.85415516507</v>
      </c>
      <c r="L20" s="397">
        <v>114599.50495303056</v>
      </c>
      <c r="M20" s="396">
        <v>111996.15982264372</v>
      </c>
      <c r="N20" s="396">
        <v>112440.7927575904</v>
      </c>
      <c r="O20" s="399">
        <f t="shared" si="0"/>
        <v>1380870.0000000002</v>
      </c>
      <c r="R20" s="759"/>
    </row>
    <row r="21" spans="1:18" x14ac:dyDescent="0.2">
      <c r="A21" s="394" t="s">
        <v>291</v>
      </c>
      <c r="B21" s="400">
        <v>5.0799999999999998E-2</v>
      </c>
      <c r="C21" s="396">
        <v>73445.385408974151</v>
      </c>
      <c r="D21" s="397">
        <v>112052.28981279273</v>
      </c>
      <c r="E21" s="396">
        <v>77033.231638595869</v>
      </c>
      <c r="F21" s="397">
        <v>87504.911868389361</v>
      </c>
      <c r="G21" s="396">
        <v>83369.714648173191</v>
      </c>
      <c r="H21" s="396">
        <v>87159.341344428598</v>
      </c>
      <c r="I21" s="396">
        <v>88573.245504062128</v>
      </c>
      <c r="J21" s="397">
        <v>91890.270315297239</v>
      </c>
      <c r="K21" s="396">
        <v>88899.131210184845</v>
      </c>
      <c r="L21" s="397">
        <v>86890.370919611218</v>
      </c>
      <c r="M21" s="396">
        <v>84916.491328213437</v>
      </c>
      <c r="N21" s="396">
        <v>85253.616001277493</v>
      </c>
      <c r="O21" s="399">
        <f t="shared" si="0"/>
        <v>1046988.0000000002</v>
      </c>
      <c r="R21" s="759"/>
    </row>
    <row r="22" spans="1:18" x14ac:dyDescent="0.2">
      <c r="A22" s="394" t="s">
        <v>292</v>
      </c>
      <c r="B22" s="400">
        <v>1.7000000000000001E-2</v>
      </c>
      <c r="C22" s="396">
        <v>24578.18015654647</v>
      </c>
      <c r="D22" s="397">
        <v>37497.813520029071</v>
      </c>
      <c r="E22" s="396">
        <v>25778.837359372636</v>
      </c>
      <c r="F22" s="397">
        <v>29283.139798476757</v>
      </c>
      <c r="G22" s="396">
        <v>27899.313957065831</v>
      </c>
      <c r="H22" s="396">
        <v>29167.496119198549</v>
      </c>
      <c r="I22" s="396">
        <v>29640.653023012917</v>
      </c>
      <c r="J22" s="397">
        <v>30750.68101102467</v>
      </c>
      <c r="K22" s="396">
        <v>29749.709263250839</v>
      </c>
      <c r="L22" s="397">
        <v>29077.486331365963</v>
      </c>
      <c r="M22" s="396">
        <v>28416.936074402136</v>
      </c>
      <c r="N22" s="396">
        <v>28529.75338625428</v>
      </c>
      <c r="O22" s="399">
        <f t="shared" si="0"/>
        <v>350370.00000000012</v>
      </c>
      <c r="R22" s="759"/>
    </row>
    <row r="23" spans="1:18" x14ac:dyDescent="0.2">
      <c r="A23" s="394" t="s">
        <v>164</v>
      </c>
      <c r="B23" s="400">
        <v>4.0800000000000003E-2</v>
      </c>
      <c r="C23" s="396">
        <v>58987.632375711531</v>
      </c>
      <c r="D23" s="397">
        <v>89994.752448069761</v>
      </c>
      <c r="E23" s="396">
        <v>61869.20966249433</v>
      </c>
      <c r="F23" s="397">
        <v>70279.535516344215</v>
      </c>
      <c r="G23" s="396">
        <v>66958.353496957992</v>
      </c>
      <c r="H23" s="396">
        <v>70001.990686076519</v>
      </c>
      <c r="I23" s="396">
        <v>71137.567255230999</v>
      </c>
      <c r="J23" s="397">
        <v>73801.634426459204</v>
      </c>
      <c r="K23" s="396">
        <v>71399.302231802008</v>
      </c>
      <c r="L23" s="397">
        <v>69785.96719527831</v>
      </c>
      <c r="M23" s="396">
        <v>68200.646578565123</v>
      </c>
      <c r="N23" s="396">
        <v>68471.408127010276</v>
      </c>
      <c r="O23" s="399">
        <f t="shared" si="0"/>
        <v>840888.00000000023</v>
      </c>
      <c r="R23" s="759"/>
    </row>
    <row r="24" spans="1:18" x14ac:dyDescent="0.2">
      <c r="A24" s="394" t="s">
        <v>165</v>
      </c>
      <c r="B24" s="400">
        <v>3.7000000000000002E-3</v>
      </c>
      <c r="C24" s="396">
        <v>5349.3686223071727</v>
      </c>
      <c r="D24" s="397">
        <v>8161.2888249475027</v>
      </c>
      <c r="E24" s="396">
        <v>5610.6881311575735</v>
      </c>
      <c r="F24" s="397">
        <v>6373.389250256706</v>
      </c>
      <c r="G24" s="396">
        <v>6072.2036259496217</v>
      </c>
      <c r="H24" s="396">
        <v>6348.2197435902726</v>
      </c>
      <c r="I24" s="396">
        <v>6451.2009520675174</v>
      </c>
      <c r="J24" s="397">
        <v>6692.795278870075</v>
      </c>
      <c r="K24" s="396">
        <v>6474.9367220016529</v>
      </c>
      <c r="L24" s="397">
        <v>6328.6293780031801</v>
      </c>
      <c r="M24" s="396">
        <v>6184.8625573698764</v>
      </c>
      <c r="N24" s="396">
        <v>6209.4169134788726</v>
      </c>
      <c r="O24" s="399">
        <f t="shared" si="0"/>
        <v>76257.000000000015</v>
      </c>
      <c r="R24" s="759"/>
    </row>
    <row r="25" spans="1:18" x14ac:dyDescent="0.2">
      <c r="A25" s="394" t="s">
        <v>166</v>
      </c>
      <c r="B25" s="400">
        <v>3.7699999999999997E-2</v>
      </c>
      <c r="C25" s="396">
        <v>54505.728935400104</v>
      </c>
      <c r="D25" s="397">
        <v>83156.91586500562</v>
      </c>
      <c r="E25" s="396">
        <v>57168.362849902842</v>
      </c>
      <c r="F25" s="397">
        <v>64939.668847210211</v>
      </c>
      <c r="G25" s="396">
        <v>61870.831540081279</v>
      </c>
      <c r="H25" s="396">
        <v>64683.211981987362</v>
      </c>
      <c r="I25" s="396">
        <v>65732.506998093348</v>
      </c>
      <c r="J25" s="397">
        <v>68194.157300919396</v>
      </c>
      <c r="K25" s="396">
        <v>65974.355248503314</v>
      </c>
      <c r="L25" s="397">
        <v>64483.602040735095</v>
      </c>
      <c r="M25" s="396">
        <v>63018.734706174146</v>
      </c>
      <c r="N25" s="396">
        <v>63268.923685987422</v>
      </c>
      <c r="O25" s="399">
        <f t="shared" si="0"/>
        <v>776997</v>
      </c>
      <c r="R25" s="759"/>
    </row>
    <row r="26" spans="1:18" ht="13.5" thickBot="1" x14ac:dyDescent="0.25">
      <c r="A26" s="394" t="s">
        <v>167</v>
      </c>
      <c r="B26" s="401">
        <v>4.5999999999999999E-2</v>
      </c>
      <c r="C26" s="396">
        <v>66505.663953008087</v>
      </c>
      <c r="D26" s="397">
        <v>101464.6718777257</v>
      </c>
      <c r="E26" s="396">
        <v>69754.501090067133</v>
      </c>
      <c r="F26" s="397">
        <v>79236.73121940768</v>
      </c>
      <c r="G26" s="396">
        <v>75492.261295589895</v>
      </c>
      <c r="H26" s="396">
        <v>78923.813028419594</v>
      </c>
      <c r="I26" s="402">
        <v>80204.119944623177</v>
      </c>
      <c r="J26" s="397">
        <v>83207.725088654974</v>
      </c>
      <c r="K26" s="396">
        <v>80499.213300561081</v>
      </c>
      <c r="L26" s="397">
        <v>78680.257131931416</v>
      </c>
      <c r="M26" s="396">
        <v>76892.885848382241</v>
      </c>
      <c r="N26" s="396">
        <v>77198.156221629222</v>
      </c>
      <c r="O26" s="399">
        <f t="shared" si="0"/>
        <v>948060.00000000023</v>
      </c>
      <c r="R26" s="759"/>
    </row>
    <row r="27" spans="1:18" ht="13.5" thickBot="1" x14ac:dyDescent="0.25">
      <c r="A27" s="403" t="s">
        <v>293</v>
      </c>
      <c r="B27" s="404">
        <f>SUM(B7:B26)</f>
        <v>1</v>
      </c>
      <c r="C27" s="405">
        <f>SUM(C7:C26)</f>
        <v>1445775.3033262629</v>
      </c>
      <c r="D27" s="405">
        <f t="shared" ref="D27:O27" si="1">SUM(D7:D26)</f>
        <v>2205753.7364722979</v>
      </c>
      <c r="E27" s="405">
        <f t="shared" si="1"/>
        <v>1516402.197610155</v>
      </c>
      <c r="F27" s="405">
        <f t="shared" si="1"/>
        <v>1722537.6352045152</v>
      </c>
      <c r="G27" s="405">
        <f t="shared" si="1"/>
        <v>1641136.1151215194</v>
      </c>
      <c r="H27" s="405">
        <f t="shared" si="1"/>
        <v>1715735.0658352086</v>
      </c>
      <c r="I27" s="405">
        <f t="shared" si="1"/>
        <v>1743567.8248831125</v>
      </c>
      <c r="J27" s="405">
        <f t="shared" si="1"/>
        <v>1808863.5888838039</v>
      </c>
      <c r="K27" s="405">
        <f t="shared" si="1"/>
        <v>1749982.8978382845</v>
      </c>
      <c r="L27" s="405">
        <f t="shared" si="1"/>
        <v>1710440.3724332915</v>
      </c>
      <c r="M27" s="405">
        <f t="shared" si="1"/>
        <v>1671584.474964832</v>
      </c>
      <c r="N27" s="405">
        <f t="shared" si="1"/>
        <v>1678220.787426722</v>
      </c>
      <c r="O27" s="405">
        <f t="shared" si="1"/>
        <v>20610000.000000004</v>
      </c>
      <c r="R27" s="759"/>
    </row>
    <row r="28" spans="1:18" x14ac:dyDescent="0.2">
      <c r="A28" s="603" t="s">
        <v>294</v>
      </c>
      <c r="B28" s="599"/>
      <c r="C28" s="599"/>
      <c r="D28" s="599"/>
      <c r="E28" s="599"/>
      <c r="F28" s="599"/>
      <c r="G28" s="599"/>
      <c r="H28" s="599"/>
      <c r="I28" s="599"/>
      <c r="J28" s="599"/>
      <c r="K28" s="599"/>
      <c r="L28" s="599"/>
      <c r="M28" s="599"/>
      <c r="N28" s="599"/>
      <c r="O28" s="599"/>
      <c r="R28" s="759"/>
    </row>
    <row r="29" spans="1:18" x14ac:dyDescent="0.2">
      <c r="A29" s="598"/>
      <c r="B29" s="600"/>
      <c r="C29" s="600"/>
      <c r="D29" s="600"/>
      <c r="E29" s="600"/>
      <c r="F29" s="600"/>
      <c r="G29" s="600"/>
      <c r="H29" s="600"/>
      <c r="I29" s="600"/>
      <c r="J29" s="600"/>
      <c r="K29" s="600"/>
      <c r="L29" s="600"/>
      <c r="M29" s="600"/>
      <c r="N29" s="600"/>
      <c r="O29" s="600"/>
      <c r="R29" s="759"/>
    </row>
    <row r="30" spans="1:18" x14ac:dyDescent="0.2">
      <c r="A30" s="601" t="s">
        <v>295</v>
      </c>
      <c r="B30" s="602"/>
      <c r="C30" s="602"/>
      <c r="D30" s="602"/>
      <c r="E30" s="602"/>
      <c r="F30" s="602"/>
      <c r="G30" s="602"/>
      <c r="H30" s="602"/>
      <c r="I30" s="602"/>
      <c r="J30" s="602"/>
      <c r="K30" s="602"/>
      <c r="L30" s="602"/>
      <c r="M30" s="602"/>
      <c r="N30" s="602"/>
      <c r="O30" s="602"/>
      <c r="R30" s="759"/>
    </row>
    <row r="31" spans="1:18" ht="27" customHeight="1" x14ac:dyDescent="0.2">
      <c r="A31" s="956" t="s">
        <v>296</v>
      </c>
      <c r="B31" s="957"/>
      <c r="C31" s="957"/>
      <c r="D31" s="957"/>
      <c r="E31" s="957"/>
      <c r="F31" s="957"/>
      <c r="G31" s="957"/>
      <c r="H31" s="957"/>
      <c r="I31" s="957"/>
      <c r="J31" s="957"/>
      <c r="K31" s="957"/>
      <c r="L31" s="957"/>
      <c r="M31" s="957"/>
      <c r="N31" s="957"/>
      <c r="O31" s="957"/>
    </row>
  </sheetData>
  <mergeCells count="5">
    <mergeCell ref="A1:O1"/>
    <mergeCell ref="A2:O2"/>
    <mergeCell ref="A3:O3"/>
    <mergeCell ref="A4:O4"/>
    <mergeCell ref="A31:O31"/>
  </mergeCells>
  <printOptions horizontalCentered="1"/>
  <pageMargins left="0.23622047244094491" right="0.74803149606299213" top="0.98425196850393704" bottom="0.98425196850393704" header="0" footer="0"/>
  <pageSetup paperSize="5" scale="8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26"/>
  <sheetViews>
    <sheetView workbookViewId="0">
      <selection activeCell="C7" sqref="C7"/>
    </sheetView>
  </sheetViews>
  <sheetFormatPr baseColWidth="10" defaultRowHeight="12.75" x14ac:dyDescent="0.2"/>
  <cols>
    <col min="1" max="1" width="16.42578125" style="695" bestFit="1" customWidth="1"/>
    <col min="2" max="2" width="9.140625" style="695" hidden="1" customWidth="1"/>
    <col min="3" max="10" width="9.5703125" style="695" bestFit="1" customWidth="1"/>
    <col min="11" max="11" width="9.7109375" style="695" bestFit="1" customWidth="1"/>
    <col min="12" max="14" width="9.5703125" style="695" bestFit="1" customWidth="1"/>
    <col min="15" max="15" width="10.85546875" style="695" bestFit="1" customWidth="1"/>
    <col min="16" max="16" width="12.7109375" style="695" bestFit="1" customWidth="1"/>
    <col min="17" max="19" width="11.42578125" style="695"/>
    <col min="20" max="20" width="11.7109375" style="695" bestFit="1" customWidth="1"/>
    <col min="21" max="16384" width="11.42578125" style="695"/>
  </cols>
  <sheetData>
    <row r="1" spans="1:17" x14ac:dyDescent="0.2">
      <c r="A1" s="958" t="s">
        <v>427</v>
      </c>
      <c r="B1" s="958"/>
      <c r="C1" s="958"/>
      <c r="D1" s="958"/>
      <c r="E1" s="958"/>
      <c r="F1" s="958"/>
      <c r="G1" s="958"/>
      <c r="H1" s="958"/>
      <c r="I1" s="958"/>
      <c r="J1" s="958"/>
      <c r="K1" s="958"/>
      <c r="L1" s="958"/>
      <c r="M1" s="958"/>
      <c r="N1" s="958"/>
      <c r="O1" s="958"/>
    </row>
    <row r="2" spans="1:17" ht="13.5" thickBot="1" x14ac:dyDescent="0.25"/>
    <row r="3" spans="1:17" ht="23.25" thickBot="1" x14ac:dyDescent="0.25">
      <c r="A3" s="722" t="s">
        <v>410</v>
      </c>
      <c r="B3" s="723" t="s">
        <v>286</v>
      </c>
      <c r="C3" s="722" t="s">
        <v>1</v>
      </c>
      <c r="D3" s="724" t="s">
        <v>2</v>
      </c>
      <c r="E3" s="722" t="s">
        <v>3</v>
      </c>
      <c r="F3" s="724" t="s">
        <v>4</v>
      </c>
      <c r="G3" s="722" t="s">
        <v>5</v>
      </c>
      <c r="H3" s="722" t="s">
        <v>6</v>
      </c>
      <c r="I3" s="722" t="s">
        <v>7</v>
      </c>
      <c r="J3" s="724" t="s">
        <v>8</v>
      </c>
      <c r="K3" s="722" t="s">
        <v>9</v>
      </c>
      <c r="L3" s="724" t="s">
        <v>10</v>
      </c>
      <c r="M3" s="722" t="s">
        <v>11</v>
      </c>
      <c r="N3" s="722" t="s">
        <v>12</v>
      </c>
      <c r="O3" s="725" t="s">
        <v>170</v>
      </c>
    </row>
    <row r="4" spans="1:17" x14ac:dyDescent="0.2">
      <c r="A4" s="700" t="s">
        <v>287</v>
      </c>
      <c r="B4" s="720"/>
      <c r="C4" s="702">
        <f>F.G.P.INCREMENTO!C7+'F.G.P. ESTIMACIONES 2014'!C7</f>
        <v>3817067.1231269343</v>
      </c>
      <c r="D4" s="702">
        <f>F.G.P.INCREMENTO!D7+'F.G.P. ESTIMACIONES 2014'!D7</f>
        <v>5482186.0254834797</v>
      </c>
      <c r="E4" s="702">
        <f>F.G.P.INCREMENTO!E7+'F.G.P. ESTIMACIONES 2014'!E7</f>
        <v>4256685.2363800658</v>
      </c>
      <c r="F4" s="702">
        <f>F.G.P.INCREMENTO!F7+'F.G.P. ESTIMACIONES 2014'!F7</f>
        <v>5139963.5576473428</v>
      </c>
      <c r="G4" s="702">
        <f>F.G.P.INCREMENTO!G7+'F.G.P. ESTIMACIONES 2014'!G7</f>
        <v>4605612.5949684838</v>
      </c>
      <c r="H4" s="702">
        <f>F.G.P.INCREMENTO!H7+'F.G.P. ESTIMACIONES 2014'!H7</f>
        <v>4983681.8320602924</v>
      </c>
      <c r="I4" s="702">
        <f>F.G.P.INCREMENTO!I7+'F.G.P. ESTIMACIONES 2014'!I7</f>
        <v>4441872.4067981634</v>
      </c>
      <c r="J4" s="702">
        <f>F.G.P.INCREMENTO!J7+'F.G.P. ESTIMACIONES 2014'!J7</f>
        <v>4514361.3503021328</v>
      </c>
      <c r="K4" s="702">
        <f>F.G.P.INCREMENTO!K7+'F.G.P. ESTIMACIONES 2014'!K7</f>
        <v>4166722.8699190868</v>
      </c>
      <c r="L4" s="702">
        <f>F.G.P.INCREMENTO!L7+'F.G.P. ESTIMACIONES 2014'!L7</f>
        <v>3733668.2237131684</v>
      </c>
      <c r="M4" s="702">
        <f>F.G.P.INCREMENTO!M7+'F.G.P. ESTIMACIONES 2014'!M7</f>
        <v>4083828.1593320547</v>
      </c>
      <c r="N4" s="702">
        <f>F.G.P.INCREMENTO!N7+'F.G.P. ESTIMACIONES 2014'!N7</f>
        <v>4238965.4758526925</v>
      </c>
      <c r="O4" s="703">
        <f>SUM(C4:N4)</f>
        <v>53464614.855583884</v>
      </c>
      <c r="P4" s="704"/>
      <c r="Q4" s="704"/>
    </row>
    <row r="5" spans="1:17" x14ac:dyDescent="0.2">
      <c r="A5" s="700" t="s">
        <v>149</v>
      </c>
      <c r="B5" s="720"/>
      <c r="C5" s="702">
        <f>F.G.P.INCREMENTO!C8+'F.G.P. ESTIMACIONES 2014'!C8</f>
        <v>2701202.6404158827</v>
      </c>
      <c r="D5" s="702">
        <f>F.G.P.INCREMENTO!D8+'F.G.P. ESTIMACIONES 2014'!D8</f>
        <v>3957177.8754550819</v>
      </c>
      <c r="E5" s="702">
        <f>F.G.P.INCREMENTO!E8+'F.G.P. ESTIMACIONES 2014'!E8</f>
        <v>3053603.611373839</v>
      </c>
      <c r="F5" s="702">
        <f>F.G.P.INCREMENTO!F8+'F.G.P. ESTIMACIONES 2014'!F8</f>
        <v>3717561.8601798662</v>
      </c>
      <c r="G5" s="702">
        <f>F.G.P.INCREMENTO!G8+'F.G.P. ESTIMACIONES 2014'!G8</f>
        <v>3346798.6874954328</v>
      </c>
      <c r="H5" s="702">
        <f>F.G.P.INCREMENTO!H8+'F.G.P. ESTIMACIONES 2014'!H8</f>
        <v>3654592.6346453256</v>
      </c>
      <c r="I5" s="702">
        <f>F.G.P.INCREMENTO!I8+'F.G.P. ESTIMACIONES 2014'!I8</f>
        <v>3165033.7892621513</v>
      </c>
      <c r="J5" s="702">
        <f>F.G.P.INCREMENTO!J8+'F.G.P. ESTIMACIONES 2014'!J8</f>
        <v>3266982.0909949667</v>
      </c>
      <c r="K5" s="702">
        <f>F.G.P.INCREMENTO!K8+'F.G.P. ESTIMACIONES 2014'!K8</f>
        <v>2962046.764885894</v>
      </c>
      <c r="L5" s="702">
        <f>F.G.P.INCREMENTO!L8+'F.G.P. ESTIMACIONES 2014'!L8</f>
        <v>2576253.4734989721</v>
      </c>
      <c r="M5" s="702">
        <f>F.G.P.INCREMENTO!M8+'F.G.P. ESTIMACIONES 2014'!M8</f>
        <v>2928927.5660365159</v>
      </c>
      <c r="N5" s="702">
        <f>F.G.P.INCREMENTO!N8+'F.G.P. ESTIMACIONES 2014'!N8</f>
        <v>3017136.0532432441</v>
      </c>
      <c r="O5" s="703">
        <f t="shared" ref="O5:O23" si="0">SUM(C5:N5)</f>
        <v>38347317.04748717</v>
      </c>
      <c r="P5" s="704"/>
      <c r="Q5" s="704"/>
    </row>
    <row r="6" spans="1:17" x14ac:dyDescent="0.2">
      <c r="A6" s="700" t="s">
        <v>150</v>
      </c>
      <c r="B6" s="720"/>
      <c r="C6" s="702">
        <f>F.G.P.INCREMENTO!C9+'F.G.P. ESTIMACIONES 2014'!C9</f>
        <v>3060624.3121447717</v>
      </c>
      <c r="D6" s="702">
        <f>F.G.P.INCREMENTO!D9+'F.G.P. ESTIMACIONES 2014'!D9</f>
        <v>4880272.1220371146</v>
      </c>
      <c r="E6" s="702">
        <f>F.G.P.INCREMENTO!E9+'F.G.P. ESTIMACIONES 2014'!E9</f>
        <v>3670880.7543860003</v>
      </c>
      <c r="F6" s="702">
        <f>F.G.P.INCREMENTO!F9+'F.G.P. ESTIMACIONES 2014'!F9</f>
        <v>4621863.5108903358</v>
      </c>
      <c r="G6" s="702">
        <f>F.G.P.INCREMENTO!G9+'F.G.P. ESTIMACIONES 2014'!G9</f>
        <v>4239455.3159630699</v>
      </c>
      <c r="H6" s="702">
        <f>F.G.P.INCREMENTO!H9+'F.G.P. ESTIMACIONES 2014'!H9</f>
        <v>4793800.1820102744</v>
      </c>
      <c r="I6" s="702">
        <f>F.G.P.INCREMENTO!I9+'F.G.P. ESTIMACIONES 2014'!I9</f>
        <v>3696912.9032562925</v>
      </c>
      <c r="J6" s="702">
        <f>F.G.P.INCREMENTO!J9+'F.G.P. ESTIMACIONES 2014'!J9</f>
        <v>4071161.7408013744</v>
      </c>
      <c r="K6" s="702">
        <f>F.G.P.INCREMENTO!K9+'F.G.P. ESTIMACIONES 2014'!K9</f>
        <v>3424653.4099375792</v>
      </c>
      <c r="L6" s="702">
        <f>F.G.P.INCREMENTO!L9+'F.G.P. ESTIMACIONES 2014'!L9</f>
        <v>2582258.6030010013</v>
      </c>
      <c r="M6" s="702">
        <f>F.G.P.INCREMENTO!M9+'F.G.P. ESTIMACIONES 2014'!M9</f>
        <v>3517604.6034286367</v>
      </c>
      <c r="N6" s="702">
        <f>F.G.P.INCREMENTO!N9+'F.G.P. ESTIMACIONES 2014'!N9</f>
        <v>3507331.0036470108</v>
      </c>
      <c r="O6" s="703">
        <f t="shared" si="0"/>
        <v>46066818.461503461</v>
      </c>
      <c r="P6" s="704"/>
      <c r="Q6" s="704"/>
    </row>
    <row r="7" spans="1:17" x14ac:dyDescent="0.2">
      <c r="A7" s="700" t="s">
        <v>288</v>
      </c>
      <c r="B7" s="720"/>
      <c r="C7" s="702">
        <f>F.G.P.INCREMENTO!C10+'F.G.P. ESTIMACIONES 2014'!C10</f>
        <v>4575525.0246846303</v>
      </c>
      <c r="D7" s="702">
        <f>F.G.P.INCREMENTO!D10+'F.G.P. ESTIMACIONES 2014'!D10</f>
        <v>7865516.27860115</v>
      </c>
      <c r="E7" s="702">
        <f>F.G.P.INCREMENTO!E10+'F.G.P. ESTIMACIONES 2014'!E10</f>
        <v>5790906.321439201</v>
      </c>
      <c r="F7" s="702">
        <f>F.G.P.INCREMENTO!F10+'F.G.P. ESTIMACIONES 2014'!F10</f>
        <v>7498010.4433725458</v>
      </c>
      <c r="G7" s="702">
        <f>F.G.P.INCREMENTO!G10+'F.G.P. ESTIMACIONES 2014'!G10</f>
        <v>6980466.7675193753</v>
      </c>
      <c r="H7" s="702">
        <f>F.G.P.INCREMENTO!H10+'F.G.P. ESTIMACIONES 2014'!H10</f>
        <v>8104548.9922433365</v>
      </c>
      <c r="I7" s="702">
        <f>F.G.P.INCREMENTO!I10+'F.G.P. ESTIMACIONES 2014'!I10</f>
        <v>5685841.7138962001</v>
      </c>
      <c r="J7" s="702">
        <f>F.G.P.INCREMENTO!J10+'F.G.P. ESTIMACIONES 2014'!J10</f>
        <v>6617026.1063542375</v>
      </c>
      <c r="K7" s="702">
        <f>F.G.P.INCREMENTO!K10+'F.G.P. ESTIMACIONES 2014'!K10</f>
        <v>5218108.895837523</v>
      </c>
      <c r="L7" s="702">
        <f>F.G.P.INCREMENTO!L10+'F.G.P. ESTIMACIONES 2014'!L10</f>
        <v>3376556.1035204018</v>
      </c>
      <c r="M7" s="702">
        <f>F.G.P.INCREMENTO!M10+'F.G.P. ESTIMACIONES 2014'!M10</f>
        <v>5544509.4530470558</v>
      </c>
      <c r="N7" s="702">
        <f>F.G.P.INCREMENTO!N10+'F.G.P. ESTIMACIONES 2014'!N10</f>
        <v>5370811.5290326709</v>
      </c>
      <c r="O7" s="703">
        <f t="shared" si="0"/>
        <v>72627827.629548341</v>
      </c>
      <c r="P7" s="704"/>
      <c r="Q7" s="704"/>
    </row>
    <row r="8" spans="1:17" x14ac:dyDescent="0.2">
      <c r="A8" s="700" t="s">
        <v>152</v>
      </c>
      <c r="B8" s="720"/>
      <c r="C8" s="702">
        <f>F.G.P.INCREMENTO!C11+'F.G.P. ESTIMACIONES 2014'!C11</f>
        <v>5071997.9099443853</v>
      </c>
      <c r="D8" s="702">
        <f>F.G.P.INCREMENTO!D11+'F.G.P. ESTIMACIONES 2014'!D11</f>
        <v>7428519.489126699</v>
      </c>
      <c r="E8" s="702">
        <f>F.G.P.INCREMENTO!E11+'F.G.P. ESTIMACIONES 2014'!E11</f>
        <v>5732737.1966965571</v>
      </c>
      <c r="F8" s="702">
        <f>F.G.P.INCREMENTO!F11+'F.G.P. ESTIMACIONES 2014'!F11</f>
        <v>6978537.5466572056</v>
      </c>
      <c r="G8" s="702">
        <f>F.G.P.INCREMENTO!G11+'F.G.P. ESTIMACIONES 2014'!G11</f>
        <v>6282191.3913148027</v>
      </c>
      <c r="H8" s="702">
        <f>F.G.P.INCREMENTO!H11+'F.G.P. ESTIMACIONES 2014'!H11</f>
        <v>6859197.2675524261</v>
      </c>
      <c r="I8" s="702">
        <f>F.G.P.INCREMENTO!I11+'F.G.P. ESTIMACIONES 2014'!I11</f>
        <v>5942422.4337112587</v>
      </c>
      <c r="J8" s="702">
        <f>F.G.P.INCREMENTO!J11+'F.G.P. ESTIMACIONES 2014'!J11</f>
        <v>6132674.6028106343</v>
      </c>
      <c r="K8" s="702">
        <f>F.G.P.INCREMENTO!K11+'F.G.P. ESTIMACIONES 2014'!K11</f>
        <v>5561469.2860290548</v>
      </c>
      <c r="L8" s="702">
        <f>F.G.P.INCREMENTO!L11+'F.G.P. ESTIMACIONES 2014'!L11</f>
        <v>4838911.6960989619</v>
      </c>
      <c r="M8" s="702">
        <f>F.G.P.INCREMENTO!M11+'F.G.P. ESTIMACIONES 2014'!M11</f>
        <v>5498689.8176164171</v>
      </c>
      <c r="N8" s="702">
        <f>F.G.P.INCREMENTO!N11+'F.G.P. ESTIMACIONES 2014'!N11</f>
        <v>5664817.4765241137</v>
      </c>
      <c r="O8" s="703">
        <f t="shared" si="0"/>
        <v>71992166.114082515</v>
      </c>
      <c r="P8" s="704"/>
      <c r="Q8" s="704"/>
    </row>
    <row r="9" spans="1:17" x14ac:dyDescent="0.2">
      <c r="A9" s="700" t="s">
        <v>289</v>
      </c>
      <c r="B9" s="720"/>
      <c r="C9" s="702">
        <f>F.G.P.INCREMENTO!C12+'F.G.P. ESTIMACIONES 2014'!C12</f>
        <v>2122513.8354629967</v>
      </c>
      <c r="D9" s="702">
        <f>F.G.P.INCREMENTO!D12+'F.G.P. ESTIMACIONES 2014'!D12</f>
        <v>3482433.6815392701</v>
      </c>
      <c r="E9" s="702">
        <f>F.G.P.INCREMENTO!E12+'F.G.P. ESTIMACIONES 2014'!E12</f>
        <v>2597862.6969792992</v>
      </c>
      <c r="F9" s="702">
        <f>F.G.P.INCREMENTO!F12+'F.G.P. ESTIMACIONES 2014'!F12</f>
        <v>3306465.2429294297</v>
      </c>
      <c r="G9" s="702">
        <f>F.G.P.INCREMENTO!G12+'F.G.P. ESTIMACIONES 2014'!G12</f>
        <v>3050583.8796651242</v>
      </c>
      <c r="H9" s="702">
        <f>F.G.P.INCREMENTO!H12+'F.G.P. ESTIMACIONES 2014'!H12</f>
        <v>3485831.5641135531</v>
      </c>
      <c r="I9" s="702">
        <f>F.G.P.INCREMENTO!I12+'F.G.P. ESTIMACIONES 2014'!I12</f>
        <v>2591144.2945357636</v>
      </c>
      <c r="J9" s="702">
        <f>F.G.P.INCREMENTO!J12+'F.G.P. ESTIMACIONES 2014'!J12</f>
        <v>2914630.9599034674</v>
      </c>
      <c r="K9" s="702">
        <f>F.G.P.INCREMENTO!K12+'F.G.P. ESTIMACIONES 2014'!K12</f>
        <v>2391889.2522558048</v>
      </c>
      <c r="L9" s="702">
        <f>F.G.P.INCREMENTO!L12+'F.G.P. ESTIMACIONES 2014'!L12</f>
        <v>1707531.0183697601</v>
      </c>
      <c r="M9" s="702">
        <f>F.G.P.INCREMENTO!M12+'F.G.P. ESTIMACIONES 2014'!M12</f>
        <v>2488598.5902737165</v>
      </c>
      <c r="N9" s="702">
        <f>F.G.P.INCREMENTO!N12+'F.G.P. ESTIMACIONES 2014'!N12</f>
        <v>2454232.3483366864</v>
      </c>
      <c r="O9" s="703">
        <f t="shared" si="0"/>
        <v>32593717.36436487</v>
      </c>
      <c r="P9" s="704"/>
      <c r="Q9" s="704"/>
    </row>
    <row r="10" spans="1:17" x14ac:dyDescent="0.2">
      <c r="A10" s="700" t="s">
        <v>154</v>
      </c>
      <c r="B10" s="720"/>
      <c r="C10" s="702">
        <f>F.G.P.INCREMENTO!C13+'F.G.P. ESTIMACIONES 2014'!C13</f>
        <v>2259192.1028277697</v>
      </c>
      <c r="D10" s="702">
        <f>F.G.P.INCREMENTO!D13+'F.G.P. ESTIMACIONES 2014'!D13</f>
        <v>3763029.6676376397</v>
      </c>
      <c r="E10" s="702">
        <f>F.G.P.INCREMENTO!E13+'F.G.P. ESTIMACIONES 2014'!E13</f>
        <v>2795126.9353511492</v>
      </c>
      <c r="F10" s="702">
        <f>F.G.P.INCREMENTO!F13+'F.G.P. ESTIMACIONES 2014'!F13</f>
        <v>3577589.8851960199</v>
      </c>
      <c r="G10" s="702">
        <f>F.G.P.INCREMENTO!G13+'F.G.P. ESTIMACIONES 2014'!G13</f>
        <v>3310586.3626651224</v>
      </c>
      <c r="H10" s="702">
        <f>F.G.P.INCREMENTO!H13+'F.G.P. ESTIMACIONES 2014'!H13</f>
        <v>3803074.8175943978</v>
      </c>
      <c r="I10" s="702">
        <f>F.G.P.INCREMENTO!I13+'F.G.P. ESTIMACIONES 2014'!I13</f>
        <v>2773734.9064540719</v>
      </c>
      <c r="J10" s="702">
        <f>F.G.P.INCREMENTO!J13+'F.G.P. ESTIMACIONES 2014'!J13</f>
        <v>3154816.1449867049</v>
      </c>
      <c r="K10" s="702">
        <f>F.G.P.INCREMENTO!K13+'F.G.P. ESTIMACIONES 2014'!K13</f>
        <v>2555643.7581091886</v>
      </c>
      <c r="L10" s="702">
        <f>F.G.P.INCREMENTO!L13+'F.G.P. ESTIMACIONES 2014'!L13</f>
        <v>1769631.922208308</v>
      </c>
      <c r="M10" s="702">
        <f>F.G.P.INCREMENTO!M13+'F.G.P. ESTIMACIONES 2014'!M13</f>
        <v>2677120.2095013727</v>
      </c>
      <c r="N10" s="702">
        <f>F.G.P.INCREMENTO!N13+'F.G.P. ESTIMACIONES 2014'!N13</f>
        <v>2624879.8942196202</v>
      </c>
      <c r="O10" s="703">
        <f t="shared" si="0"/>
        <v>35064426.606751367</v>
      </c>
      <c r="P10" s="704"/>
      <c r="Q10" s="704"/>
    </row>
    <row r="11" spans="1:17" x14ac:dyDescent="0.2">
      <c r="A11" s="700" t="s">
        <v>155</v>
      </c>
      <c r="B11" s="720"/>
      <c r="C11" s="702">
        <f>F.G.P.INCREMENTO!C14+'F.G.P. ESTIMACIONES 2014'!C14</f>
        <v>3333952.4600639166</v>
      </c>
      <c r="D11" s="702">
        <f>F.G.P.INCREMENTO!D14+'F.G.P. ESTIMACIONES 2014'!D14</f>
        <v>4789868.6436225818</v>
      </c>
      <c r="E11" s="702">
        <f>F.G.P.INCREMENTO!E14+'F.G.P. ESTIMACIONES 2014'!E14</f>
        <v>3718752.0923905545</v>
      </c>
      <c r="F11" s="702">
        <f>F.G.P.INCREMENTO!F14+'F.G.P. ESTIMACIONES 2014'!F14</f>
        <v>4491011.2874682024</v>
      </c>
      <c r="G11" s="702">
        <f>F.G.P.INCREMENTO!G14+'F.G.P. ESTIMACIONES 2014'!G14</f>
        <v>4024438.4797811797</v>
      </c>
      <c r="H11" s="702">
        <f>F.G.P.INCREMENTO!H14+'F.G.P. ESTIMACIONES 2014'!H14</f>
        <v>4355458.3544524573</v>
      </c>
      <c r="I11" s="702">
        <f>F.G.P.INCREMENTO!I14+'F.G.P. ESTIMACIONES 2014'!I14</f>
        <v>3880109.8553930516</v>
      </c>
      <c r="J11" s="702">
        <f>F.G.P.INCREMENTO!J14+'F.G.P. ESTIMACIONES 2014'!J14</f>
        <v>3944433.0285002952</v>
      </c>
      <c r="K11" s="702">
        <f>F.G.P.INCREMENTO!K14+'F.G.P. ESTIMACIONES 2014'!K14</f>
        <v>3639620.3603843194</v>
      </c>
      <c r="L11" s="702">
        <f>F.G.P.INCREMENTO!L14+'F.G.P. ESTIMACIONES 2014'!L14</f>
        <v>3259795.7943502935</v>
      </c>
      <c r="M11" s="702">
        <f>F.G.P.INCREMENTO!M14+'F.G.P. ESTIMACIONES 2014'!M14</f>
        <v>3567726.1780357305</v>
      </c>
      <c r="N11" s="702">
        <f>F.G.P.INCREMENTO!N14+'F.G.P. ESTIMACIONES 2014'!N14</f>
        <v>3702798.4341964265</v>
      </c>
      <c r="O11" s="703">
        <f t="shared" si="0"/>
        <v>46707964.968639016</v>
      </c>
      <c r="P11" s="704"/>
      <c r="Q11" s="704"/>
    </row>
    <row r="12" spans="1:17" x14ac:dyDescent="0.2">
      <c r="A12" s="700" t="s">
        <v>156</v>
      </c>
      <c r="B12" s="720"/>
      <c r="C12" s="702">
        <f>F.G.P.INCREMENTO!C15+'F.G.P. ESTIMACIONES 2014'!C15</f>
        <v>3045935.7281524283</v>
      </c>
      <c r="D12" s="702">
        <f>F.G.P.INCREMENTO!D15+'F.G.P. ESTIMACIONES 2014'!D15</f>
        <v>4441239.1711515328</v>
      </c>
      <c r="E12" s="702">
        <f>F.G.P.INCREMENTO!E15+'F.G.P. ESTIMACIONES 2014'!E15</f>
        <v>3432159.1322783995</v>
      </c>
      <c r="F12" s="702">
        <f>F.G.P.INCREMENTO!F15+'F.G.P. ESTIMACIONES 2014'!F15</f>
        <v>4170350.8832252724</v>
      </c>
      <c r="G12" s="702">
        <f>F.G.P.INCREMENTO!G15+'F.G.P. ESTIMACIONES 2014'!G15</f>
        <v>3750277.9038815917</v>
      </c>
      <c r="H12" s="702">
        <f>F.G.P.INCREMENTO!H15+'F.G.P. ESTIMACIONES 2014'!H15</f>
        <v>4086485.2588684196</v>
      </c>
      <c r="I12" s="702">
        <f>F.G.P.INCREMENTO!I15+'F.G.P. ESTIMACIONES 2014'!I15</f>
        <v>3563108.1962632565</v>
      </c>
      <c r="J12" s="702">
        <f>F.G.P.INCREMENTO!J15+'F.G.P. ESTIMACIONES 2014'!J15</f>
        <v>3664390.4833165281</v>
      </c>
      <c r="K12" s="702">
        <f>F.G.P.INCREMENTO!K15+'F.G.P. ESTIMACIONES 2014'!K15</f>
        <v>3336449.590529358</v>
      </c>
      <c r="L12" s="702">
        <f>F.G.P.INCREMENTO!L15+'F.G.P. ESTIMACIONES 2014'!L15</f>
        <v>2922843.2084973711</v>
      </c>
      <c r="M12" s="702">
        <f>F.G.P.INCREMENTO!M15+'F.G.P. ESTIMACIONES 2014'!M15</f>
        <v>3292206.563871854</v>
      </c>
      <c r="N12" s="702">
        <f>F.G.P.INCREMENTO!N15+'F.G.P. ESTIMACIONES 2014'!N15</f>
        <v>3397498.6339564621</v>
      </c>
      <c r="O12" s="703">
        <f t="shared" si="0"/>
        <v>43102944.753992468</v>
      </c>
      <c r="P12" s="704"/>
      <c r="Q12" s="704"/>
    </row>
    <row r="13" spans="1:17" x14ac:dyDescent="0.2">
      <c r="A13" s="700" t="s">
        <v>157</v>
      </c>
      <c r="B13" s="720"/>
      <c r="C13" s="702">
        <f>F.G.P.INCREMENTO!C16+'F.G.P. ESTIMACIONES 2014'!C16</f>
        <v>1993260.6440086924</v>
      </c>
      <c r="D13" s="702">
        <f>F.G.P.INCREMENTO!D16+'F.G.P. ESTIMACIONES 2014'!D16</f>
        <v>3108461.2503019054</v>
      </c>
      <c r="E13" s="702">
        <f>F.G.P.INCREMENTO!E16+'F.G.P. ESTIMACIONES 2014'!E16</f>
        <v>2353529.371190629</v>
      </c>
      <c r="F13" s="702">
        <f>F.G.P.INCREMENTO!F16+'F.G.P. ESTIMACIONES 2014'!F16</f>
        <v>2937863.9500336554</v>
      </c>
      <c r="G13" s="702">
        <f>F.G.P.INCREMENTO!G16+'F.G.P. ESTIMACIONES 2014'!G16</f>
        <v>2682177.2135853833</v>
      </c>
      <c r="H13" s="702">
        <f>F.G.P.INCREMENTO!H16+'F.G.P. ESTIMACIONES 2014'!H16</f>
        <v>3006978.9005970918</v>
      </c>
      <c r="I13" s="702">
        <f>F.G.P.INCREMENTO!I16+'F.G.P. ESTIMACIONES 2014'!I16</f>
        <v>2388140.0886154589</v>
      </c>
      <c r="J13" s="702">
        <f>F.G.P.INCREMENTO!J16+'F.G.P. ESTIMACIONES 2014'!J16</f>
        <v>2586290.7393995123</v>
      </c>
      <c r="K13" s="702">
        <f>F.G.P.INCREMENTO!K16+'F.G.P. ESTIMACIONES 2014'!K16</f>
        <v>2218274.161545035</v>
      </c>
      <c r="L13" s="702">
        <f>F.G.P.INCREMENTO!L16+'F.G.P. ESTIMACIONES 2014'!L16</f>
        <v>1741054.2514205785</v>
      </c>
      <c r="M13" s="702">
        <f>F.G.P.INCREMENTO!M16+'F.G.P. ESTIMACIONES 2014'!M16</f>
        <v>2255822.8014959572</v>
      </c>
      <c r="N13" s="702">
        <f>F.G.P.INCREMENTO!N16+'F.G.P. ESTIMACIONES 2014'!N16</f>
        <v>2268549.77148051</v>
      </c>
      <c r="O13" s="703">
        <f t="shared" si="0"/>
        <v>29540403.143674411</v>
      </c>
      <c r="P13" s="704"/>
      <c r="Q13" s="704"/>
    </row>
    <row r="14" spans="1:17" x14ac:dyDescent="0.2">
      <c r="A14" s="700" t="s">
        <v>158</v>
      </c>
      <c r="B14" s="720"/>
      <c r="C14" s="702">
        <f>F.G.P.INCREMENTO!C17+'F.G.P. ESTIMACIONES 2014'!C17</f>
        <v>3235446.214524488</v>
      </c>
      <c r="D14" s="702">
        <f>F.G.P.INCREMENTO!D17+'F.G.P. ESTIMACIONES 2014'!D17</f>
        <v>4840110.1468125042</v>
      </c>
      <c r="E14" s="702">
        <f>F.G.P.INCREMENTO!E17+'F.G.P. ESTIMACIONES 2014'!E17</f>
        <v>3710894.8142351974</v>
      </c>
      <c r="F14" s="702">
        <f>F.G.P.INCREMENTO!F17+'F.G.P. ESTIMACIONES 2014'!F17</f>
        <v>4556413.332040308</v>
      </c>
      <c r="G14" s="702">
        <f>F.G.P.INCREMENTO!G17+'F.G.P. ESTIMACIONES 2014'!G17</f>
        <v>4121851.5425280854</v>
      </c>
      <c r="H14" s="702">
        <f>F.G.P.INCREMENTO!H17+'F.G.P. ESTIMACIONES 2014'!H17</f>
        <v>4542512.9714378407</v>
      </c>
      <c r="I14" s="702">
        <f>F.G.P.INCREMENTO!I17+'F.G.P. ESTIMACIONES 2014'!I17</f>
        <v>3819018.3079662113</v>
      </c>
      <c r="J14" s="702">
        <f>F.G.P.INCREMENTO!J17+'F.G.P. ESTIMACIONES 2014'!J17</f>
        <v>4006560.0979709625</v>
      </c>
      <c r="K14" s="702">
        <f>F.G.P.INCREMENTO!K17+'F.G.P. ESTIMACIONES 2014'!K17</f>
        <v>3565196.8606107081</v>
      </c>
      <c r="L14" s="702">
        <f>F.G.P.INCREMENTO!L17+'F.G.P. ESTIMACIONES 2014'!L17</f>
        <v>3000615.4164504493</v>
      </c>
      <c r="M14" s="702">
        <f>F.G.P.INCREMENTO!M17+'F.G.P. ESTIMACIONES 2014'!M17</f>
        <v>3558523.0263175066</v>
      </c>
      <c r="N14" s="702">
        <f>F.G.P.INCREMENTO!N17+'F.G.P. ESTIMACIONES 2014'!N17</f>
        <v>3636304.6713239579</v>
      </c>
      <c r="O14" s="703">
        <f t="shared" si="0"/>
        <v>46593447.402218215</v>
      </c>
      <c r="P14" s="704"/>
      <c r="Q14" s="704"/>
    </row>
    <row r="15" spans="1:17" x14ac:dyDescent="0.2">
      <c r="A15" s="700" t="s">
        <v>159</v>
      </c>
      <c r="B15" s="720"/>
      <c r="C15" s="702">
        <f>F.G.P.INCREMENTO!C18+'F.G.P. ESTIMACIONES 2014'!C18</f>
        <v>3436755.9506131555</v>
      </c>
      <c r="D15" s="702">
        <f>F.G.P.INCREMENTO!D18+'F.G.P. ESTIMACIONES 2014'!D18</f>
        <v>4876169.1411979841</v>
      </c>
      <c r="E15" s="702">
        <f>F.G.P.INCREMENTO!E18+'F.G.P. ESTIMACIONES 2014'!E18</f>
        <v>3800758.1447721072</v>
      </c>
      <c r="F15" s="702">
        <f>F.G.P.INCREMENTO!F18+'F.G.P. ESTIMACIONES 2014'!F18</f>
        <v>4566069.6462504826</v>
      </c>
      <c r="G15" s="702">
        <f>F.G.P.INCREMENTO!G18+'F.G.P. ESTIMACIONES 2014'!G18</f>
        <v>4079274.7325041257</v>
      </c>
      <c r="H15" s="702">
        <f>F.G.P.INCREMENTO!H18+'F.G.P. ESTIMACIONES 2014'!H18</f>
        <v>4388670.1362180356</v>
      </c>
      <c r="I15" s="702">
        <f>F.G.P.INCREMENTO!I18+'F.G.P. ESTIMACIONES 2014'!I18</f>
        <v>3982608.840952374</v>
      </c>
      <c r="J15" s="702">
        <f>F.G.P.INCREMENTO!J18+'F.G.P. ESTIMACIONES 2014'!J18</f>
        <v>4008856.5064691361</v>
      </c>
      <c r="K15" s="702">
        <f>F.G.P.INCREMENTO!K18+'F.G.P. ESTIMACIONES 2014'!K18</f>
        <v>3741247.1899632406</v>
      </c>
      <c r="L15" s="702">
        <f>F.G.P.INCREMENTO!L18+'F.G.P. ESTIMACIONES 2014'!L18</f>
        <v>3412456.5907432325</v>
      </c>
      <c r="M15" s="702">
        <f>F.G.P.INCREMENTO!M18+'F.G.P. ESTIMACIONES 2014'!M18</f>
        <v>3646934.8699874273</v>
      </c>
      <c r="N15" s="702">
        <f>F.G.P.INCREMENTO!N18+'F.G.P. ESTIMACIONES 2014'!N18</f>
        <v>3803236.8959084237</v>
      </c>
      <c r="O15" s="703">
        <f t="shared" si="0"/>
        <v>47743038.645579733</v>
      </c>
      <c r="P15" s="704"/>
      <c r="Q15" s="704"/>
    </row>
    <row r="16" spans="1:17" x14ac:dyDescent="0.2">
      <c r="A16" s="700" t="s">
        <v>160</v>
      </c>
      <c r="B16" s="720"/>
      <c r="C16" s="702">
        <f>F.G.P.INCREMENTO!C19+'F.G.P. ESTIMACIONES 2014'!C19</f>
        <v>4746081.2837969456</v>
      </c>
      <c r="D16" s="702">
        <f>F.G.P.INCREMENTO!D19+'F.G.P. ESTIMACIONES 2014'!D19</f>
        <v>6656585.7509269649</v>
      </c>
      <c r="E16" s="702">
        <f>F.G.P.INCREMENTO!E19+'F.G.P. ESTIMACIONES 2014'!E19</f>
        <v>5207640.7236846481</v>
      </c>
      <c r="F16" s="702">
        <f>F.G.P.INCREMENTO!F19+'F.G.P. ESTIMACIONES 2014'!F19</f>
        <v>6225793.9399516294</v>
      </c>
      <c r="G16" s="702">
        <f>F.G.P.INCREMENTO!G19+'F.G.P. ESTIMACIONES 2014'!G19</f>
        <v>5546195.398404276</v>
      </c>
      <c r="H16" s="702">
        <f>F.G.P.INCREMENTO!H19+'F.G.P. ESTIMACIONES 2014'!H19</f>
        <v>5933390.6129817814</v>
      </c>
      <c r="I16" s="702">
        <f>F.G.P.INCREMENTO!I19+'F.G.P. ESTIMACIONES 2014'!I19</f>
        <v>5478307.238037955</v>
      </c>
      <c r="J16" s="702">
        <f>F.G.P.INCREMENTO!J19+'F.G.P. ESTIMACIONES 2014'!J19</f>
        <v>5464124.4910035757</v>
      </c>
      <c r="K16" s="702">
        <f>F.G.P.INCREMENTO!K19+'F.G.P. ESTIMACIONES 2014'!K19</f>
        <v>5153229.8254273701</v>
      </c>
      <c r="L16" s="702">
        <f>F.G.P.INCREMENTO!L19+'F.G.P. ESTIMACIONES 2014'!L19</f>
        <v>4778168.4187215334</v>
      </c>
      <c r="M16" s="702">
        <f>F.G.P.INCREMENTO!M19+'F.G.P. ESTIMACIONES 2014'!M19</f>
        <v>4997555.3172186473</v>
      </c>
      <c r="N16" s="702">
        <f>F.G.P.INCREMENTO!N19+'F.G.P. ESTIMACIONES 2014'!N19</f>
        <v>5234887.6718831034</v>
      </c>
      <c r="O16" s="703">
        <f t="shared" si="0"/>
        <v>65421960.672038428</v>
      </c>
      <c r="P16" s="704"/>
      <c r="Q16" s="704"/>
    </row>
    <row r="17" spans="1:20" x14ac:dyDescent="0.2">
      <c r="A17" s="700" t="s">
        <v>290</v>
      </c>
      <c r="B17" s="720"/>
      <c r="C17" s="702">
        <f>F.G.P.INCREMENTO!C20+'F.G.P. ESTIMACIONES 2014'!C20</f>
        <v>2348703.3535268302</v>
      </c>
      <c r="D17" s="702">
        <f>F.G.P.INCREMENTO!D20+'F.G.P. ESTIMACIONES 2014'!D20</f>
        <v>3455730.4630865841</v>
      </c>
      <c r="E17" s="702">
        <f>F.G.P.INCREMENTO!E20+'F.G.P. ESTIMACIONES 2014'!E20</f>
        <v>2663071.9995911783</v>
      </c>
      <c r="F17" s="702">
        <f>F.G.P.INCREMENTO!F20+'F.G.P. ESTIMACIONES 2014'!F20</f>
        <v>3247877.2777091688</v>
      </c>
      <c r="G17" s="702">
        <f>F.G.P.INCREMENTO!G20+'F.G.P. ESTIMACIONES 2014'!G20</f>
        <v>2926918.8006338095</v>
      </c>
      <c r="H17" s="702">
        <f>F.G.P.INCREMENTO!H20+'F.G.P. ESTIMACIONES 2014'!H20</f>
        <v>3202299.0549294064</v>
      </c>
      <c r="I17" s="702">
        <f>F.G.P.INCREMENTO!I20+'F.G.P. ESTIMACIONES 2014'!I20</f>
        <v>2756181.6059762519</v>
      </c>
      <c r="J17" s="702">
        <f>F.G.P.INCREMENTO!J20+'F.G.P. ESTIMACIONES 2014'!J20</f>
        <v>2854582.2520639878</v>
      </c>
      <c r="K17" s="702">
        <f>F.G.P.INCREMENTO!K20+'F.G.P. ESTIMACIONES 2014'!K20</f>
        <v>2578090.1714857384</v>
      </c>
      <c r="L17" s="702">
        <f>F.G.P.INCREMENTO!L20+'F.G.P. ESTIMACIONES 2014'!L20</f>
        <v>2227360.0974455546</v>
      </c>
      <c r="M17" s="702">
        <f>F.G.P.INCREMENTO!M20+'F.G.P. ESTIMACIONES 2014'!M20</f>
        <v>2554212.9280402805</v>
      </c>
      <c r="N17" s="702">
        <f>F.G.P.INCREMENTO!N20+'F.G.P. ESTIMACIONES 2014'!N20</f>
        <v>2626754.3510781983</v>
      </c>
      <c r="O17" s="703">
        <f t="shared" si="0"/>
        <v>33441782.355566986</v>
      </c>
      <c r="P17" s="704"/>
      <c r="Q17" s="704"/>
    </row>
    <row r="18" spans="1:20" x14ac:dyDescent="0.2">
      <c r="A18" s="700" t="s">
        <v>291</v>
      </c>
      <c r="B18" s="720"/>
      <c r="C18" s="702">
        <f>F.G.P.INCREMENTO!C21+'F.G.P. ESTIMACIONES 2014'!C21</f>
        <v>3014441.104744954</v>
      </c>
      <c r="D18" s="702">
        <f>F.G.P.INCREMENTO!D21+'F.G.P. ESTIMACIONES 2014'!D21</f>
        <v>4370732.4552726597</v>
      </c>
      <c r="E18" s="702">
        <f>F.G.P.INCREMENTO!E21+'F.G.P. ESTIMACIONES 2014'!E21</f>
        <v>3383591.9419845873</v>
      </c>
      <c r="F18" s="702">
        <f>F.G.P.INCREMENTO!F21+'F.G.P. ESTIMACIONES 2014'!F21</f>
        <v>4101833.5466351672</v>
      </c>
      <c r="G18" s="702">
        <f>F.G.P.INCREMENTO!G21+'F.G.P. ESTIMACIONES 2014'!G21</f>
        <v>3683767.5131342621</v>
      </c>
      <c r="H18" s="702">
        <f>F.G.P.INCREMENTO!H21+'F.G.P. ESTIMACIONES 2014'!H21</f>
        <v>4003752.3289265232</v>
      </c>
      <c r="I18" s="702">
        <f>F.G.P.INCREMENTO!I21+'F.G.P. ESTIMACIONES 2014'!I21</f>
        <v>3519400.5860676034</v>
      </c>
      <c r="J18" s="702">
        <f>F.G.P.INCREMENTO!J21+'F.G.P. ESTIMACIONES 2014'!J21</f>
        <v>3603594.9827086907</v>
      </c>
      <c r="K18" s="702">
        <f>F.G.P.INCREMENTO!K21+'F.G.P. ESTIMACIONES 2014'!K21</f>
        <v>3297705.7582233879</v>
      </c>
      <c r="L18" s="702">
        <f>F.G.P.INCREMENTO!L21+'F.G.P. ESTIMACIONES 2014'!L21</f>
        <v>2913501.1473334613</v>
      </c>
      <c r="M18" s="702">
        <f>F.G.P.INCREMENTO!M21+'F.G.P. ESTIMACIONES 2014'!M21</f>
        <v>3245831.0881445073</v>
      </c>
      <c r="N18" s="702">
        <f>F.G.P.INCREMENTO!N21+'F.G.P. ESTIMACIONES 2014'!N21</f>
        <v>3356867.6314798901</v>
      </c>
      <c r="O18" s="703">
        <f t="shared" si="0"/>
        <v>42495020.084655687</v>
      </c>
      <c r="P18" s="704"/>
      <c r="Q18" s="704"/>
    </row>
    <row r="19" spans="1:20" x14ac:dyDescent="0.2">
      <c r="A19" s="700" t="s">
        <v>292</v>
      </c>
      <c r="B19" s="720"/>
      <c r="C19" s="702">
        <f>F.G.P.INCREMENTO!C22+'F.G.P. ESTIMACIONES 2014'!C22</f>
        <v>8286177.6799610537</v>
      </c>
      <c r="D19" s="702">
        <f>F.G.P.INCREMENTO!D22+'F.G.P. ESTIMACIONES 2014'!D22</f>
        <v>11493335.666830029</v>
      </c>
      <c r="E19" s="702">
        <f>F.G.P.INCREMENTO!E22+'F.G.P. ESTIMACIONES 2014'!E22</f>
        <v>9023710.8638456035</v>
      </c>
      <c r="F19" s="702">
        <f>F.G.P.INCREMENTO!F22+'F.G.P. ESTIMACIONES 2014'!F22</f>
        <v>10736978.463996343</v>
      </c>
      <c r="G19" s="702">
        <f>F.G.P.INCREMENTO!G22+'F.G.P. ESTIMACIONES 2014'!G22</f>
        <v>9538265.9386584479</v>
      </c>
      <c r="H19" s="702">
        <f>F.G.P.INCREMENTO!H22+'F.G.P. ESTIMACIONES 2014'!H22</f>
        <v>10147705.046746733</v>
      </c>
      <c r="I19" s="702">
        <f>F.G.P.INCREMENTO!I22+'F.G.P. ESTIMACIONES 2014'!I22</f>
        <v>9528716.4327736646</v>
      </c>
      <c r="J19" s="702">
        <f>F.G.P.INCREMENTO!J22+'F.G.P. ESTIMACIONES 2014'!J22</f>
        <v>9420185.6036324073</v>
      </c>
      <c r="K19" s="702">
        <f>F.G.P.INCREMENTO!K22+'F.G.P. ESTIMACIONES 2014'!K22</f>
        <v>8974847.4170260653</v>
      </c>
      <c r="L19" s="702">
        <f>F.G.P.INCREMENTO!L22+'F.G.P. ESTIMACIONES 2014'!L22</f>
        <v>8451239.3271073382</v>
      </c>
      <c r="M19" s="702">
        <f>F.G.P.INCREMENTO!M22+'F.G.P. ESTIMACIONES 2014'!M22</f>
        <v>8660811.6436074525</v>
      </c>
      <c r="N19" s="702">
        <f>F.G.P.INCREMENTO!N22+'F.G.P. ESTIMACIONES 2014'!N22</f>
        <v>9110854.8996840212</v>
      </c>
      <c r="O19" s="703">
        <f t="shared" si="0"/>
        <v>113372828.98386917</v>
      </c>
      <c r="P19" s="704"/>
      <c r="Q19" s="704"/>
    </row>
    <row r="20" spans="1:20" x14ac:dyDescent="0.2">
      <c r="A20" s="700" t="s">
        <v>164</v>
      </c>
      <c r="B20" s="720"/>
      <c r="C20" s="702">
        <f>F.G.P.INCREMENTO!C23+'F.G.P. ESTIMACIONES 2014'!C23</f>
        <v>3724272.277327423</v>
      </c>
      <c r="D20" s="702">
        <f>F.G.P.INCREMENTO!D23+'F.G.P. ESTIMACIONES 2014'!D23</f>
        <v>5375984.5200333307</v>
      </c>
      <c r="E20" s="702">
        <f>F.G.P.INCREMENTO!E23+'F.G.P. ESTIMACIONES 2014'!E23</f>
        <v>4167605.9413355468</v>
      </c>
      <c r="F20" s="702">
        <f>F.G.P.INCREMENTO!F23+'F.G.P. ESTIMACIONES 2014'!F23</f>
        <v>5042975.3744802317</v>
      </c>
      <c r="G20" s="702">
        <f>F.G.P.INCREMENTO!G23+'F.G.P. ESTIMACIONES 2014'!G23</f>
        <v>4524187.8167686695</v>
      </c>
      <c r="H20" s="702">
        <f>F.G.P.INCREMENTO!H23+'F.G.P. ESTIMACIONES 2014'!H23</f>
        <v>4907102.3296105564</v>
      </c>
      <c r="I20" s="702">
        <f>F.G.P.INCREMENTO!I23+'F.G.P. ESTIMACIONES 2014'!I23</f>
        <v>4341448.6163913617</v>
      </c>
      <c r="J20" s="702">
        <f>F.G.P.INCREMENTO!J23+'F.G.P. ESTIMACIONES 2014'!J23</f>
        <v>4429839.5532906521</v>
      </c>
      <c r="K20" s="702">
        <f>F.G.P.INCREMENTO!K23+'F.G.P. ESTIMACIONES 2014'!K23</f>
        <v>4070102.745428104</v>
      </c>
      <c r="L20" s="702">
        <f>F.G.P.INCREMENTO!L23+'F.G.P. ESTIMACIONES 2014'!L23</f>
        <v>3619907.6473938441</v>
      </c>
      <c r="M20" s="702">
        <f>F.G.P.INCREMENTO!M23+'F.G.P. ESTIMACIONES 2014'!M23</f>
        <v>3998131.1180141019</v>
      </c>
      <c r="N20" s="702">
        <f>F.G.P.INCREMENTO!N23+'F.G.P. ESTIMACIONES 2014'!N23</f>
        <v>4141972.1489989394</v>
      </c>
      <c r="O20" s="703">
        <f t="shared" si="0"/>
        <v>52343530.089072756</v>
      </c>
      <c r="P20" s="704"/>
      <c r="Q20" s="704"/>
    </row>
    <row r="21" spans="1:20" x14ac:dyDescent="0.2">
      <c r="A21" s="700" t="s">
        <v>165</v>
      </c>
      <c r="B21" s="720"/>
      <c r="C21" s="702">
        <f>F.G.P.INCREMENTO!C24+'F.G.P. ESTIMACIONES 2014'!C24</f>
        <v>36642767.816396222</v>
      </c>
      <c r="D21" s="702">
        <f>F.G.P.INCREMENTO!D24+'F.G.P. ESTIMACIONES 2014'!D24</f>
        <v>49032150.400811724</v>
      </c>
      <c r="E21" s="702">
        <f>F.G.P.INCREMENTO!E24+'F.G.P. ESTIMACIONES 2014'!E24</f>
        <v>38950292.704086512</v>
      </c>
      <c r="F21" s="702">
        <f>F.G.P.INCREMENTO!F24+'F.G.P. ESTIMACIONES 2014'!F24</f>
        <v>45628226.414742261</v>
      </c>
      <c r="G21" s="702">
        <f>F.G.P.INCREMENTO!G24+'F.G.P. ESTIMACIONES 2014'!G24</f>
        <v>40156908.770163283</v>
      </c>
      <c r="H21" s="702">
        <f>F.G.P.INCREMENTO!H24+'F.G.P. ESTIMACIONES 2014'!H24</f>
        <v>41922260.430355296</v>
      </c>
      <c r="I21" s="702">
        <f>F.G.P.INCREMENTO!I24+'F.G.P. ESTIMACIONES 2014'!I24</f>
        <v>41636712.448560447</v>
      </c>
      <c r="J21" s="702">
        <f>F.G.P.INCREMENTO!J24+'F.G.P. ESTIMACIONES 2014'!J24</f>
        <v>39986798.446138807</v>
      </c>
      <c r="K21" s="702">
        <f>F.G.P.INCREMENTO!K24+'F.G.P. ESTIMACIONES 2014'!K24</f>
        <v>39378526.444998942</v>
      </c>
      <c r="L21" s="702">
        <f>F.G.P.INCREMENTO!L24+'F.G.P. ESTIMACIONES 2014'!L24</f>
        <v>38895628.701910965</v>
      </c>
      <c r="M21" s="702">
        <f>F.G.P.INCREMENTO!M24+'F.G.P. ESTIMACIONES 2014'!M24</f>
        <v>37399807.092704147</v>
      </c>
      <c r="N21" s="702">
        <f>F.G.P.INCREMENTO!N24+'F.G.P. ESTIMACIONES 2014'!N24</f>
        <v>39888367.573228568</v>
      </c>
      <c r="O21" s="703">
        <f t="shared" si="0"/>
        <v>489518447.24409723</v>
      </c>
      <c r="P21" s="704"/>
      <c r="Q21" s="704"/>
      <c r="T21" s="704"/>
    </row>
    <row r="22" spans="1:20" x14ac:dyDescent="0.2">
      <c r="A22" s="700" t="s">
        <v>166</v>
      </c>
      <c r="B22" s="720"/>
      <c r="C22" s="702">
        <f>F.G.P.INCREMENTO!C25+'F.G.P. ESTIMACIONES 2014'!C25</f>
        <v>3965269.6350029903</v>
      </c>
      <c r="D22" s="702">
        <f>F.G.P.INCREMENTO!D25+'F.G.P. ESTIMACIONES 2014'!D25</f>
        <v>5670120.8831988778</v>
      </c>
      <c r="E22" s="702">
        <f>F.G.P.INCREMENTO!E25+'F.G.P. ESTIMACIONES 2014'!E25</f>
        <v>4408700.1559706517</v>
      </c>
      <c r="F22" s="702">
        <f>F.G.P.INCREMENTO!F25+'F.G.P. ESTIMACIONES 2014'!F25</f>
        <v>5313788.6165379556</v>
      </c>
      <c r="G22" s="702">
        <f>F.G.P.INCREMENTO!G25+'F.G.P. ESTIMACIONES 2014'!G25</f>
        <v>4756322.5658472832</v>
      </c>
      <c r="H22" s="702">
        <f>F.G.P.INCREMENTO!H25+'F.G.P. ESTIMACIONES 2014'!H25</f>
        <v>5136151.8758557905</v>
      </c>
      <c r="I22" s="702">
        <f>F.G.P.INCREMENTO!I25+'F.G.P. ESTIMACIONES 2014'!I25</f>
        <v>4607375.2486584233</v>
      </c>
      <c r="J22" s="702">
        <f>F.G.P.INCREMENTO!J25+'F.G.P. ESTIMACIONES 2014'!J25</f>
        <v>4666420.619083914</v>
      </c>
      <c r="K22" s="702">
        <f>F.G.P.INCREMENTO!K25+'F.G.P. ESTIMACIONES 2014'!K25</f>
        <v>4324198.3453568416</v>
      </c>
      <c r="L22" s="702">
        <f>F.G.P.INCREMENTO!L25+'F.G.P. ESTIMACIONES 2014'!L25</f>
        <v>3899795.4593941579</v>
      </c>
      <c r="M22" s="702">
        <f>F.G.P.INCREMENTO!M25+'F.G.P. ESTIMACIONES 2014'!M25</f>
        <v>4229886.3952312265</v>
      </c>
      <c r="N22" s="702">
        <f>F.G.P.INCREMENTO!N25+'F.G.P. ESTIMACIONES 2014'!N25</f>
        <v>4397972.9105636198</v>
      </c>
      <c r="O22" s="703">
        <f t="shared" si="0"/>
        <v>55376002.710701726</v>
      </c>
      <c r="P22" s="704"/>
      <c r="Q22" s="704"/>
      <c r="T22" s="704"/>
    </row>
    <row r="23" spans="1:20" ht="13.5" thickBot="1" x14ac:dyDescent="0.25">
      <c r="A23" s="700" t="s">
        <v>167</v>
      </c>
      <c r="B23" s="720"/>
      <c r="C23" s="702">
        <f>F.G.P.INCREMENTO!C26+'F.G.P. ESTIMACIONES 2014'!C26</f>
        <v>3753642.6724896687</v>
      </c>
      <c r="D23" s="702">
        <f>F.G.P.INCREMENTO!D26+'F.G.P. ESTIMACIONES 2014'!D26</f>
        <v>5780193.8767676055</v>
      </c>
      <c r="E23" s="702">
        <f>F.G.P.INCREMENTO!E26+'F.G.P. ESTIMACIONES 2014'!E26</f>
        <v>4392956.294749504</v>
      </c>
      <c r="F23" s="702">
        <f>F.G.P.INCREMENTO!F26+'F.G.P. ESTIMACIONES 2014'!F26</f>
        <v>5456502.4395534266</v>
      </c>
      <c r="G23" s="702">
        <f>F.G.P.INCREMENTO!G26+'F.G.P. ESTIMACIONES 2014'!G26</f>
        <v>4968010.6254390813</v>
      </c>
      <c r="H23" s="702">
        <f>F.G.P.INCREMENTO!H26+'F.G.P. ESTIMACIONES 2014'!H26</f>
        <v>5541529.827722121</v>
      </c>
      <c r="I23" s="702">
        <f>F.G.P.INCREMENTO!I26+'F.G.P. ESTIMACIONES 2014'!I26</f>
        <v>4476725.084243671</v>
      </c>
      <c r="J23" s="702">
        <f>F.G.P.INCREMENTO!J26+'F.G.P. ESTIMACIONES 2014'!J26</f>
        <v>4801882.2408324881</v>
      </c>
      <c r="K23" s="702">
        <f>F.G.P.INCREMENTO!K26+'F.G.P. ESTIMACIONES 2014'!K26</f>
        <v>4164678.677538217</v>
      </c>
      <c r="L23" s="702">
        <f>F.G.P.INCREMENTO!L26+'F.G.P. ESTIMACIONES 2014'!L26</f>
        <v>3341168.2847877406</v>
      </c>
      <c r="M23" s="702">
        <f>F.G.P.INCREMENTO!M26+'F.G.P. ESTIMACIONES 2014'!M26</f>
        <v>4211186.4136111625</v>
      </c>
      <c r="N23" s="702">
        <f>F.G.P.INCREMENTO!N26+'F.G.P. ESTIMACIONES 2014'!N26</f>
        <v>4255598.3038379867</v>
      </c>
      <c r="O23" s="703">
        <f t="shared" si="0"/>
        <v>55144074.741572663</v>
      </c>
      <c r="P23" s="704"/>
      <c r="Q23" s="704"/>
      <c r="T23" s="704"/>
    </row>
    <row r="24" spans="1:20" ht="13.5" thickBot="1" x14ac:dyDescent="0.25">
      <c r="A24" s="705" t="s">
        <v>293</v>
      </c>
      <c r="B24" s="721">
        <f>SUM(B4:B23)</f>
        <v>0</v>
      </c>
      <c r="C24" s="707">
        <f>SUM(C4:C23)</f>
        <v>105134829.76921614</v>
      </c>
      <c r="D24" s="707">
        <f t="shared" ref="D24:N24" si="1">SUM(D4:D23)</f>
        <v>150749817.50989476</v>
      </c>
      <c r="E24" s="707">
        <f t="shared" si="1"/>
        <v>117111466.93272121</v>
      </c>
      <c r="F24" s="707">
        <f t="shared" si="1"/>
        <v>141315677.21949685</v>
      </c>
      <c r="G24" s="707">
        <f t="shared" si="1"/>
        <v>126574292.3009209</v>
      </c>
      <c r="H24" s="707">
        <f t="shared" si="1"/>
        <v>136859024.41892165</v>
      </c>
      <c r="I24" s="707">
        <f t="shared" si="1"/>
        <v>122274814.99781363</v>
      </c>
      <c r="J24" s="707">
        <f t="shared" si="1"/>
        <v>124109612.04056446</v>
      </c>
      <c r="K24" s="707">
        <f t="shared" si="1"/>
        <v>114722701.78549145</v>
      </c>
      <c r="L24" s="707">
        <f t="shared" si="1"/>
        <v>103048345.38596711</v>
      </c>
      <c r="M24" s="707">
        <f t="shared" si="1"/>
        <v>112357913.83551577</v>
      </c>
      <c r="N24" s="707">
        <f t="shared" si="1"/>
        <v>116699837.67847614</v>
      </c>
      <c r="O24" s="707">
        <f>SUM(C24:N24)</f>
        <v>1470958333.8749998</v>
      </c>
      <c r="P24" s="704"/>
      <c r="Q24" s="704"/>
      <c r="T24" s="704"/>
    </row>
    <row r="25" spans="1:20" x14ac:dyDescent="0.2">
      <c r="A25" s="708"/>
      <c r="B25" s="708"/>
      <c r="C25" s="708"/>
      <c r="D25" s="708"/>
      <c r="E25" s="708"/>
      <c r="F25" s="708"/>
      <c r="G25" s="708"/>
      <c r="H25" s="708"/>
      <c r="I25" s="708"/>
      <c r="J25" s="708"/>
      <c r="K25" s="708"/>
      <c r="L25" s="708"/>
      <c r="M25" s="708"/>
      <c r="N25" s="708"/>
      <c r="O25" s="708"/>
      <c r="T25" s="704"/>
    </row>
    <row r="26" spans="1:20" x14ac:dyDescent="0.2">
      <c r="A26" s="709" t="s">
        <v>294</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5" tint="0.59999389629810485"/>
  </sheetPr>
  <dimension ref="A1:O29"/>
  <sheetViews>
    <sheetView workbookViewId="0">
      <selection activeCell="C7" sqref="C7"/>
    </sheetView>
  </sheetViews>
  <sheetFormatPr baseColWidth="10" defaultRowHeight="12.75" x14ac:dyDescent="0.2"/>
  <cols>
    <col min="1" max="1" width="16" style="695" customWidth="1"/>
    <col min="2" max="2" width="9.28515625" style="695" hidden="1" customWidth="1"/>
    <col min="3" max="10" width="8.7109375" style="695" bestFit="1" customWidth="1"/>
    <col min="11" max="11" width="9.7109375" style="695" bestFit="1" customWidth="1"/>
    <col min="12" max="12" width="8.7109375" style="695" bestFit="1" customWidth="1"/>
    <col min="13" max="13" width="9.42578125" style="695" bestFit="1" customWidth="1"/>
    <col min="14" max="14" width="8.7109375" style="695" bestFit="1" customWidth="1"/>
    <col min="15" max="15" width="9.5703125" style="695" bestFit="1" customWidth="1"/>
    <col min="16" max="16384" width="11.42578125" style="695"/>
  </cols>
  <sheetData>
    <row r="1" spans="1:15" x14ac:dyDescent="0.2">
      <c r="A1" s="958" t="s">
        <v>429</v>
      </c>
      <c r="B1" s="958"/>
      <c r="C1" s="958"/>
      <c r="D1" s="958"/>
      <c r="E1" s="958"/>
      <c r="F1" s="958"/>
      <c r="G1" s="958"/>
      <c r="H1" s="958"/>
      <c r="I1" s="958"/>
      <c r="J1" s="958"/>
      <c r="K1" s="958"/>
      <c r="L1" s="958"/>
      <c r="M1" s="958"/>
      <c r="N1" s="958"/>
      <c r="O1" s="958"/>
    </row>
    <row r="2" spans="1:15" ht="13.5" thickBot="1" x14ac:dyDescent="0.25"/>
    <row r="3" spans="1:15"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5" ht="12.75" customHeight="1" x14ac:dyDescent="0.2">
      <c r="A4" s="700" t="s">
        <v>287</v>
      </c>
      <c r="B4" s="720"/>
      <c r="C4" s="702">
        <f>'F.F.M30%'!C7+'F.F.M.70%'!C7+'F.F.M.ESTIIMACIONES 2014'!C7</f>
        <v>1319450.7402243596</v>
      </c>
      <c r="D4" s="702">
        <f>'F.F.M30%'!D7+'F.F.M.70%'!D7+'F.F.M.ESTIIMACIONES 2014'!D7</f>
        <v>1663270.2687195931</v>
      </c>
      <c r="E4" s="702">
        <f>'F.F.M30%'!E7+'F.F.M.70%'!E7+'F.F.M.ESTIIMACIONES 2014'!E7</f>
        <v>1373838.4673798655</v>
      </c>
      <c r="F4" s="702">
        <f>'F.F.M30%'!F7+'F.F.M.70%'!F7+'F.F.M.ESTIIMACIONES 2014'!F7</f>
        <v>1586991.9463427369</v>
      </c>
      <c r="G4" s="702">
        <f>'F.F.M30%'!G7+'F.F.M.70%'!G7+'F.F.M.ESTIIMACIONES 2014'!G7</f>
        <v>1385213.0754985125</v>
      </c>
      <c r="H4" s="702">
        <f>'F.F.M30%'!H7+'F.F.M.70%'!H7+'F.F.M.ESTIIMACIONES 2014'!H7</f>
        <v>1348461.0204951181</v>
      </c>
      <c r="I4" s="702">
        <f>'F.F.M30%'!I7+'F.F.M.70%'!I7+'F.F.M.ESTIIMACIONES 2014'!I7</f>
        <v>1483975.2315229957</v>
      </c>
      <c r="J4" s="702">
        <f>'F.F.M30%'!J7+'F.F.M.70%'!J7+'F.F.M.ESTIIMACIONES 2014'!J7</f>
        <v>1389638.395207549</v>
      </c>
      <c r="K4" s="702">
        <f>'F.F.M30%'!K7+'F.F.M.70%'!K7+'F.F.M.ESTIIMACIONES 2014'!K7</f>
        <v>1408522.1810386535</v>
      </c>
      <c r="L4" s="702">
        <f>'F.F.M30%'!L7+'F.F.M.70%'!L7+'F.F.M.ESTIIMACIONES 2014'!L7</f>
        <v>1416280.7006414284</v>
      </c>
      <c r="M4" s="702">
        <f>'F.F.M30%'!M7+'F.F.M.70%'!M7+'F.F.M.ESTIIMACIONES 2014'!M7</f>
        <v>1319729.4147107729</v>
      </c>
      <c r="N4" s="702">
        <f>'F.F.M30%'!N7+'F.F.M.70%'!N7+'F.F.M.ESTIIMACIONES 2014'!N7</f>
        <v>1424106.7991143942</v>
      </c>
      <c r="O4" s="703">
        <f t="shared" ref="O4:O24" si="0">SUM(C4:N4)</f>
        <v>17119478.240895979</v>
      </c>
    </row>
    <row r="5" spans="1:15" ht="12.75" customHeight="1" x14ac:dyDescent="0.2">
      <c r="A5" s="700" t="s">
        <v>149</v>
      </c>
      <c r="B5" s="720"/>
      <c r="C5" s="702">
        <f>'F.F.M30%'!C8+'F.F.M.70%'!C8+'F.F.M.ESTIIMACIONES 2014'!C8</f>
        <v>892814.83201304998</v>
      </c>
      <c r="D5" s="702">
        <f>'F.F.M30%'!D8+'F.F.M.70%'!D8+'F.F.M.ESTIIMACIONES 2014'!D8</f>
        <v>1098058.5327170934</v>
      </c>
      <c r="E5" s="702">
        <f>'F.F.M30%'!E8+'F.F.M.70%'!E8+'F.F.M.ESTIIMACIONES 2014'!E8</f>
        <v>912594.21921014634</v>
      </c>
      <c r="F5" s="702">
        <f>'F.F.M30%'!F8+'F.F.M.70%'!F8+'F.F.M.ESTIIMACIONES 2014'!F8</f>
        <v>1041081.1570573716</v>
      </c>
      <c r="G5" s="702">
        <f>'F.F.M30%'!G8+'F.F.M.70%'!G8+'F.F.M.ESTIIMACIONES 2014'!G8</f>
        <v>901131.23190366977</v>
      </c>
      <c r="H5" s="702">
        <f>'F.F.M30%'!H8+'F.F.M.70%'!H8+'F.F.M.ESTIIMACIONES 2014'!H8</f>
        <v>900363.7645081454</v>
      </c>
      <c r="I5" s="702">
        <f>'F.F.M30%'!I8+'F.F.M.70%'!I8+'F.F.M.ESTIIMACIONES 2014'!I8</f>
        <v>995446.35006213118</v>
      </c>
      <c r="J5" s="702">
        <f>'F.F.M30%'!J8+'F.F.M.70%'!J8+'F.F.M.ESTIIMACIONES 2014'!J8</f>
        <v>910451.08580648387</v>
      </c>
      <c r="K5" s="702">
        <f>'F.F.M30%'!K8+'F.F.M.70%'!K8+'F.F.M.ESTIIMACIONES 2014'!K8</f>
        <v>947686.55609067576</v>
      </c>
      <c r="L5" s="702">
        <f>'F.F.M30%'!L8+'F.F.M.70%'!L8+'F.F.M.ESTIIMACIONES 2014'!L8</f>
        <v>950771.25245050609</v>
      </c>
      <c r="M5" s="702">
        <f>'F.F.M30%'!M8+'F.F.M.70%'!M8+'F.F.M.ESTIIMACIONES 2014'!M8</f>
        <v>876859.9149753931</v>
      </c>
      <c r="N5" s="702">
        <f>'F.F.M30%'!N8+'F.F.M.70%'!N8+'F.F.M.ESTIIMACIONES 2014'!N8</f>
        <v>956615.7150503028</v>
      </c>
      <c r="O5" s="703">
        <f t="shared" si="0"/>
        <v>11383874.611844968</v>
      </c>
    </row>
    <row r="6" spans="1:15" ht="12.75" customHeight="1" x14ac:dyDescent="0.2">
      <c r="A6" s="700" t="s">
        <v>150</v>
      </c>
      <c r="B6" s="720"/>
      <c r="C6" s="702">
        <f>'F.F.M30%'!C9+'F.F.M.70%'!C9+'F.F.M.ESTIIMACIONES 2014'!C9</f>
        <v>836972.03932495555</v>
      </c>
      <c r="D6" s="702">
        <f>'F.F.M30%'!D9+'F.F.M.70%'!D9+'F.F.M.ESTIIMACIONES 2014'!D9</f>
        <v>1010010.8446700795</v>
      </c>
      <c r="E6" s="702">
        <f>'F.F.M30%'!E9+'F.F.M.70%'!E9+'F.F.M.ESTIIMACIONES 2014'!E9</f>
        <v>843483.8384311446</v>
      </c>
      <c r="F6" s="702">
        <f>'F.F.M30%'!F9+'F.F.M.70%'!F9+'F.F.M.ESTIIMACIONES 2014'!F9</f>
        <v>952806.86053492024</v>
      </c>
      <c r="G6" s="702">
        <f>'F.F.M30%'!G9+'F.F.M.70%'!G9+'F.F.M.ESTIIMACIONES 2014'!G9</f>
        <v>819196.8785581988</v>
      </c>
      <c r="H6" s="702">
        <f>'F.F.M30%'!H9+'F.F.M.70%'!H9+'F.F.M.ESTIIMACIONES 2014'!H9</f>
        <v>835510.623264806</v>
      </c>
      <c r="I6" s="702">
        <f>'F.F.M30%'!I9+'F.F.M.70%'!I9+'F.F.M.ESTIIMACIONES 2014'!I9</f>
        <v>927039.13138127571</v>
      </c>
      <c r="J6" s="702">
        <f>'F.F.M30%'!J9+'F.F.M.70%'!J9+'F.F.M.ESTIIMACIONES 2014'!J9</f>
        <v>832404.25027154223</v>
      </c>
      <c r="K6" s="702">
        <f>'F.F.M30%'!K9+'F.F.M.70%'!K9+'F.F.M.ESTIIMACIONES 2014'!K9</f>
        <v>884595.98258769687</v>
      </c>
      <c r="L6" s="702">
        <f>'F.F.M30%'!L9+'F.F.M.70%'!L9+'F.F.M.ESTIIMACIONES 2014'!L9</f>
        <v>885957.53535711346</v>
      </c>
      <c r="M6" s="702">
        <f>'F.F.M30%'!M9+'F.F.M.70%'!M9+'F.F.M.ESTIIMACIONES 2014'!M9</f>
        <v>810605.78321891616</v>
      </c>
      <c r="N6" s="702">
        <f>'F.F.M30%'!N9+'F.F.M.70%'!N9+'F.F.M.ESTIIMACIONES 2014'!N9</f>
        <v>891824.36316620104</v>
      </c>
      <c r="O6" s="703">
        <f t="shared" si="0"/>
        <v>10530408.130766852</v>
      </c>
    </row>
    <row r="7" spans="1:15" ht="12.75" customHeight="1" x14ac:dyDescent="0.2">
      <c r="A7" s="700" t="s">
        <v>288</v>
      </c>
      <c r="B7" s="720"/>
      <c r="C7" s="702">
        <f>'F.F.M30%'!C10+'F.F.M.70%'!C10+'F.F.M.ESTIIMACIONES 2014'!C10</f>
        <v>1421849.7443935976</v>
      </c>
      <c r="D7" s="702">
        <f>'F.F.M30%'!D10+'F.F.M.70%'!D10+'F.F.M.ESTIIMACIONES 2014'!D10</f>
        <v>3250433.1655001501</v>
      </c>
      <c r="E7" s="702">
        <f>'F.F.M30%'!E10+'F.F.M.70%'!E10+'F.F.M.ESTIIMACIONES 2014'!E10</f>
        <v>2386168.0635601128</v>
      </c>
      <c r="F7" s="702">
        <f>'F.F.M30%'!F10+'F.F.M.70%'!F10+'F.F.M.ESTIIMACIONES 2014'!F10</f>
        <v>3453591.9789573336</v>
      </c>
      <c r="G7" s="702">
        <f>'F.F.M30%'!G10+'F.F.M.70%'!G10+'F.F.M.ESTIIMACIONES 2014'!G10</f>
        <v>3417852.6344973654</v>
      </c>
      <c r="H7" s="702">
        <f>'F.F.M30%'!H10+'F.F.M.70%'!H10+'F.F.M.ESTIIMACIONES 2014'!H10</f>
        <v>2095906.9168734038</v>
      </c>
      <c r="I7" s="702">
        <f>'F.F.M30%'!I10+'F.F.M.70%'!I10+'F.F.M.ESTIIMACIONES 2014'!I10</f>
        <v>2061778.3204895456</v>
      </c>
      <c r="J7" s="702">
        <f>'F.F.M30%'!J10+'F.F.M.70%'!J10+'F.F.M.ESTIIMACIONES 2014'!J10</f>
        <v>3086064.8666905053</v>
      </c>
      <c r="K7" s="702">
        <f>'F.F.M30%'!K10+'F.F.M.70%'!K10+'F.F.M.ESTIIMACIONES 2014'!K10</f>
        <v>1805099.8008441078</v>
      </c>
      <c r="L7" s="702">
        <f>'F.F.M30%'!L10+'F.F.M.70%'!L10+'F.F.M.ESTIIMACIONES 2014'!L10</f>
        <v>1928661.6177696602</v>
      </c>
      <c r="M7" s="702">
        <f>'F.F.M30%'!M10+'F.F.M.70%'!M10+'F.F.M.ESTIIMACIONES 2014'!M10</f>
        <v>2281094.4015372759</v>
      </c>
      <c r="N7" s="702">
        <f>'F.F.M30%'!N10+'F.F.M.70%'!N10+'F.F.M.ESTIIMACIONES 2014'!N10</f>
        <v>1907890.7435273849</v>
      </c>
      <c r="O7" s="703">
        <f t="shared" si="0"/>
        <v>29096392.254640441</v>
      </c>
    </row>
    <row r="8" spans="1:15" ht="12.75" customHeight="1" x14ac:dyDescent="0.2">
      <c r="A8" s="700" t="s">
        <v>152</v>
      </c>
      <c r="B8" s="720"/>
      <c r="C8" s="702">
        <f>'F.F.M30%'!C11+'F.F.M.70%'!C11+'F.F.M.ESTIIMACIONES 2014'!C11</f>
        <v>1722421.4196659345</v>
      </c>
      <c r="D8" s="702">
        <f>'F.F.M30%'!D11+'F.F.M.70%'!D11+'F.F.M.ESTIIMACIONES 2014'!D11</f>
        <v>2285622.5495005311</v>
      </c>
      <c r="E8" s="702">
        <f>'F.F.M30%'!E11+'F.F.M.70%'!E11+'F.F.M.ESTIIMACIONES 2014'!E11</f>
        <v>1864466.2707461328</v>
      </c>
      <c r="F8" s="702">
        <f>'F.F.M30%'!F11+'F.F.M.70%'!F11+'F.F.M.ESTIIMACIONES 2014'!F11</f>
        <v>2208432.5056097191</v>
      </c>
      <c r="G8" s="702">
        <f>'F.F.M30%'!G11+'F.F.M.70%'!G11+'F.F.M.ESTIIMACIONES 2014'!G11</f>
        <v>1959281.8105325294</v>
      </c>
      <c r="H8" s="702">
        <f>'F.F.M30%'!H11+'F.F.M.70%'!H11+'F.F.M.ESTIIMACIONES 2014'!H11</f>
        <v>1810714.5427608325</v>
      </c>
      <c r="I8" s="702">
        <f>'F.F.M30%'!I11+'F.F.M.70%'!I11+'F.F.M.ESTIIMACIONES 2014'!I11</f>
        <v>1973483.5780509538</v>
      </c>
      <c r="J8" s="702">
        <f>'F.F.M30%'!J11+'F.F.M.70%'!J11+'F.F.M.ESTIIMACIONES 2014'!J11</f>
        <v>1938658.1187774821</v>
      </c>
      <c r="K8" s="702">
        <f>'F.F.M30%'!K11+'F.F.M.70%'!K11+'F.F.M.ESTIIMACIONES 2014'!K11</f>
        <v>1861230.0210989616</v>
      </c>
      <c r="L8" s="702">
        <f>'F.F.M30%'!L11+'F.F.M.70%'!L11+'F.F.M.ESTIIMACIONES 2014'!L11</f>
        <v>1880394.7921964396</v>
      </c>
      <c r="M8" s="702">
        <f>'F.F.M30%'!M11+'F.F.M.70%'!M11+'F.F.M.ESTIIMACIONES 2014'!M11</f>
        <v>1790163.4664813103</v>
      </c>
      <c r="N8" s="702">
        <f>'F.F.M30%'!N11+'F.F.M.70%'!N11+'F.F.M.ESTIIMACIONES 2014'!N11</f>
        <v>1888320.1642234065</v>
      </c>
      <c r="O8" s="703">
        <f t="shared" si="0"/>
        <v>23183189.239644229</v>
      </c>
    </row>
    <row r="9" spans="1:15" ht="12.75" customHeight="1" x14ac:dyDescent="0.2">
      <c r="A9" s="700" t="s">
        <v>289</v>
      </c>
      <c r="B9" s="720"/>
      <c r="C9" s="702">
        <f>'F.F.M30%'!C12+'F.F.M.70%'!C12+'F.F.M.ESTIIMACIONES 2014'!C12</f>
        <v>562117.21643478645</v>
      </c>
      <c r="D9" s="702">
        <f>'F.F.M30%'!D12+'F.F.M.70%'!D12+'F.F.M.ESTIIMACIONES 2014'!D12</f>
        <v>765001.87051886495</v>
      </c>
      <c r="E9" s="702">
        <f>'F.F.M30%'!E12+'F.F.M.70%'!E12+'F.F.M.ESTIIMACIONES 2014'!E12</f>
        <v>620327.25425953208</v>
      </c>
      <c r="F9" s="702">
        <f>'F.F.M30%'!F12+'F.F.M.70%'!F12+'F.F.M.ESTIIMACIONES 2014'!F12</f>
        <v>743545.22584014642</v>
      </c>
      <c r="G9" s="702">
        <f>'F.F.M30%'!G12+'F.F.M.70%'!G12+'F.F.M.ESTIIMACIONES 2014'!G12</f>
        <v>664612.12404504919</v>
      </c>
      <c r="H9" s="702">
        <f>'F.F.M30%'!H12+'F.F.M.70%'!H12+'F.F.M.ESTIIMACIONES 2014'!H12</f>
        <v>599344.38639828376</v>
      </c>
      <c r="I9" s="702">
        <f>'F.F.M30%'!I12+'F.F.M.70%'!I12+'F.F.M.ESTIIMACIONES 2014'!I12</f>
        <v>650106.72925730061</v>
      </c>
      <c r="J9" s="702">
        <f>'F.F.M30%'!J12+'F.F.M.70%'!J12+'F.F.M.ESTIIMACIONES 2014'!J12</f>
        <v>653476.90825801669</v>
      </c>
      <c r="K9" s="702">
        <f>'F.F.M30%'!K12+'F.F.M.70%'!K12+'F.F.M.ESTIIMACIONES 2014'!K12</f>
        <v>611177.34030755924</v>
      </c>
      <c r="L9" s="702">
        <f>'F.F.M30%'!L12+'F.F.M.70%'!L12+'F.F.M.ESTIIMACIONES 2014'!L12</f>
        <v>618939.49057323264</v>
      </c>
      <c r="M9" s="702">
        <f>'F.F.M30%'!M12+'F.F.M.70%'!M12+'F.F.M.ESTIIMACIONES 2014'!M12</f>
        <v>595466.28706828842</v>
      </c>
      <c r="N9" s="702">
        <f>'F.F.M30%'!N12+'F.F.M.70%'!N12+'F.F.M.ESTIIMACIONES 2014'!N12</f>
        <v>621143.75294965494</v>
      </c>
      <c r="O9" s="703">
        <f t="shared" si="0"/>
        <v>7705258.5859107161</v>
      </c>
    </row>
    <row r="10" spans="1:15" ht="12.75" customHeight="1" x14ac:dyDescent="0.2">
      <c r="A10" s="700" t="s">
        <v>154</v>
      </c>
      <c r="B10" s="720"/>
      <c r="C10" s="702">
        <f>'F.F.M30%'!C13+'F.F.M.70%'!C13+'F.F.M.ESTIIMACIONES 2014'!C13</f>
        <v>551572.14595427655</v>
      </c>
      <c r="D10" s="702">
        <f>'F.F.M30%'!D13+'F.F.M.70%'!D13+'F.F.M.ESTIIMACIONES 2014'!D13</f>
        <v>672945.32214211253</v>
      </c>
      <c r="E10" s="702">
        <f>'F.F.M30%'!E13+'F.F.M.70%'!E13+'F.F.M.ESTIIMACIONES 2014'!E13</f>
        <v>560422.23819092265</v>
      </c>
      <c r="F10" s="702">
        <f>'F.F.M30%'!F13+'F.F.M.70%'!F13+'F.F.M.ESTIIMACIONES 2014'!F13</f>
        <v>636683.68136273767</v>
      </c>
      <c r="G10" s="702">
        <f>'F.F.M30%'!G13+'F.F.M.70%'!G13+'F.F.M.ESTIIMACIONES 2014'!G13</f>
        <v>549548.05008947058</v>
      </c>
      <c r="H10" s="702">
        <f>'F.F.M30%'!H13+'F.F.M.70%'!H13+'F.F.M.ESTIIMACIONES 2014'!H13</f>
        <v>553844.47685917467</v>
      </c>
      <c r="I10" s="702">
        <f>'F.F.M30%'!I13+'F.F.M.70%'!I13+'F.F.M.ESTIIMACIONES 2014'!I13</f>
        <v>613255.78419338644</v>
      </c>
      <c r="J10" s="702">
        <f>'F.F.M30%'!J13+'F.F.M.70%'!J13+'F.F.M.ESTIIMACIONES 2014'!J13</f>
        <v>556557.81935560785</v>
      </c>
      <c r="K10" s="702">
        <f>'F.F.M30%'!K13+'F.F.M.70%'!K13+'F.F.M.ESTIIMACIONES 2014'!K13</f>
        <v>584402.66703889053</v>
      </c>
      <c r="L10" s="702">
        <f>'F.F.M30%'!L13+'F.F.M.70%'!L13+'F.F.M.ESTIIMACIONES 2014'!L13</f>
        <v>585879.79096703709</v>
      </c>
      <c r="M10" s="702">
        <f>'F.F.M30%'!M13+'F.F.M.70%'!M13+'F.F.M.ESTIIMACIONES 2014'!M13</f>
        <v>538519.91578121926</v>
      </c>
      <c r="N10" s="702">
        <f>'F.F.M30%'!N13+'F.F.M.70%'!N13+'F.F.M.ESTIIMACIONES 2014'!N13</f>
        <v>589599.08780908433</v>
      </c>
      <c r="O10" s="703">
        <f t="shared" si="0"/>
        <v>6993230.9797439193</v>
      </c>
    </row>
    <row r="11" spans="1:15" ht="12.75" customHeight="1" x14ac:dyDescent="0.2">
      <c r="A11" s="700" t="s">
        <v>155</v>
      </c>
      <c r="B11" s="720"/>
      <c r="C11" s="702">
        <f>'F.F.M30%'!C14+'F.F.M.70%'!C14+'F.F.M.ESTIIMACIONES 2014'!C14</f>
        <v>1151857.8531921494</v>
      </c>
      <c r="D11" s="702">
        <f>'F.F.M30%'!D14+'F.F.M.70%'!D14+'F.F.M.ESTIIMACIONES 2014'!D14</f>
        <v>1452270.8719913533</v>
      </c>
      <c r="E11" s="702">
        <f>'F.F.M30%'!E14+'F.F.M.70%'!E14+'F.F.M.ESTIIMACIONES 2014'!E14</f>
        <v>1199501.6857416613</v>
      </c>
      <c r="F11" s="702">
        <f>'F.F.M30%'!F14+'F.F.M.70%'!F14+'F.F.M.ESTIIMACIONES 2014'!F14</f>
        <v>1385732.9643726519</v>
      </c>
      <c r="G11" s="702">
        <f>'F.F.M30%'!G14+'F.F.M.70%'!G14+'F.F.M.ESTIIMACIONES 2014'!G14</f>
        <v>1209616.4299074477</v>
      </c>
      <c r="H11" s="702">
        <f>'F.F.M30%'!H14+'F.F.M.70%'!H14+'F.F.M.ESTIIMACIONES 2014'!H14</f>
        <v>1177299.9220158427</v>
      </c>
      <c r="I11" s="702">
        <f>'F.F.M30%'!I14+'F.F.M.70%'!I14+'F.F.M.ESTIIMACIONES 2014'!I14</f>
        <v>1295568.8248353449</v>
      </c>
      <c r="J11" s="702">
        <f>'F.F.M30%'!J14+'F.F.M.70%'!J14+'F.F.M.ESTIIMACIONES 2014'!J14</f>
        <v>1213418.6125338788</v>
      </c>
      <c r="K11" s="702">
        <f>'F.F.M30%'!K14+'F.F.M.70%'!K14+'F.F.M.ESTIIMACIONES 2014'!K14</f>
        <v>1229667.7975643734</v>
      </c>
      <c r="L11" s="702">
        <f>'F.F.M30%'!L14+'F.F.M.70%'!L14+'F.F.M.ESTIIMACIONES 2014'!L14</f>
        <v>1236461.7475370199</v>
      </c>
      <c r="M11" s="702">
        <f>'F.F.M30%'!M14+'F.F.M.70%'!M14+'F.F.M.ESTIIMACIONES 2014'!M14</f>
        <v>1152256.9288974816</v>
      </c>
      <c r="N11" s="702">
        <f>'F.F.M30%'!N14+'F.F.M.70%'!N14+'F.F.M.ESTIIMACIONES 2014'!N14</f>
        <v>1243288.5000390182</v>
      </c>
      <c r="O11" s="703">
        <f t="shared" si="0"/>
        <v>14946942.138628222</v>
      </c>
    </row>
    <row r="12" spans="1:15" ht="12.75" customHeight="1" x14ac:dyDescent="0.2">
      <c r="A12" s="700" t="s">
        <v>156</v>
      </c>
      <c r="B12" s="720"/>
      <c r="C12" s="702">
        <f>'F.F.M30%'!C15+'F.F.M.70%'!C15+'F.F.M.ESTIIMACIONES 2014'!C15</f>
        <v>1011551.6636760491</v>
      </c>
      <c r="D12" s="702">
        <f>'F.F.M30%'!D15+'F.F.M.70%'!D15+'F.F.M.ESTIIMACIONES 2014'!D15</f>
        <v>1228706.3343647411</v>
      </c>
      <c r="E12" s="702">
        <f>'F.F.M30%'!E15+'F.F.M.70%'!E15+'F.F.M.ESTIIMACIONES 2014'!E15</f>
        <v>1024405.0909949724</v>
      </c>
      <c r="F12" s="702">
        <f>'F.F.M30%'!F15+'F.F.M.70%'!F15+'F.F.M.ESTIIMACIONES 2014'!F15</f>
        <v>1161140.5513438</v>
      </c>
      <c r="G12" s="702">
        <f>'F.F.M30%'!G15+'F.F.M.70%'!G15+'F.F.M.ESTIIMACIONES 2014'!G15</f>
        <v>1000661.2998186906</v>
      </c>
      <c r="H12" s="702">
        <f>'F.F.M30%'!H15+'F.F.M.70%'!H15+'F.F.M.ESTIIMACIONES 2014'!H15</f>
        <v>1013322.1865678321</v>
      </c>
      <c r="I12" s="702">
        <f>'F.F.M30%'!I15+'F.F.M.70%'!I15+'F.F.M.ESTIIMACIONES 2014'!I15</f>
        <v>1122950.8791895404</v>
      </c>
      <c r="J12" s="702">
        <f>'F.F.M30%'!J15+'F.F.M.70%'!J15+'F.F.M.ESTIIMACIONES 2014'!J15</f>
        <v>1014771.7379841997</v>
      </c>
      <c r="K12" s="702">
        <f>'F.F.M30%'!K15+'F.F.M.70%'!K15+'F.F.M.ESTIIMACIONES 2014'!K15</f>
        <v>1070689.8220457798</v>
      </c>
      <c r="L12" s="702">
        <f>'F.F.M30%'!L15+'F.F.M.70%'!L15+'F.F.M.ESTIIMACIONES 2014'!L15</f>
        <v>1072969.2301214759</v>
      </c>
      <c r="M12" s="702">
        <f>'F.F.M30%'!M15+'F.F.M.70%'!M15+'F.F.M.ESTIIMACIONES 2014'!M15</f>
        <v>984411.8632629792</v>
      </c>
      <c r="N12" s="702">
        <f>'F.F.M30%'!N15+'F.F.M.70%'!N15+'F.F.M.ESTIIMACIONES 2014'!N15</f>
        <v>1079899.1017594787</v>
      </c>
      <c r="O12" s="703">
        <f t="shared" si="0"/>
        <v>12785479.761129539</v>
      </c>
    </row>
    <row r="13" spans="1:15" ht="12.75" customHeight="1" x14ac:dyDescent="0.2">
      <c r="A13" s="700" t="s">
        <v>157</v>
      </c>
      <c r="B13" s="720"/>
      <c r="C13" s="702">
        <f>'F.F.M30%'!C16+'F.F.M.70%'!C16+'F.F.M.ESTIIMACIONES 2014'!C16</f>
        <v>578873.02720231598</v>
      </c>
      <c r="D13" s="702">
        <f>'F.F.M30%'!D16+'F.F.M.70%'!D16+'F.F.M.ESTIIMACIONES 2014'!D16</f>
        <v>713911.60368195036</v>
      </c>
      <c r="E13" s="702">
        <f>'F.F.M30%'!E16+'F.F.M.70%'!E16+'F.F.M.ESTIIMACIONES 2014'!E16</f>
        <v>592917.96371482336</v>
      </c>
      <c r="F13" s="702">
        <f>'F.F.M30%'!F16+'F.F.M.70%'!F16+'F.F.M.ESTIIMACIONES 2014'!F16</f>
        <v>677353.83627315133</v>
      </c>
      <c r="G13" s="702">
        <f>'F.F.M30%'!G16+'F.F.M.70%'!G16+'F.F.M.ESTIIMACIONES 2014'!G16</f>
        <v>586859.58277166123</v>
      </c>
      <c r="H13" s="702">
        <f>'F.F.M30%'!H16+'F.F.M.70%'!H16+'F.F.M.ESTIIMACIONES 2014'!H16</f>
        <v>584633.79836993641</v>
      </c>
      <c r="I13" s="702">
        <f>'F.F.M30%'!I16+'F.F.M.70%'!I16+'F.F.M.ESTIIMACIONES 2014'!I16</f>
        <v>646039.55603700178</v>
      </c>
      <c r="J13" s="702">
        <f>'F.F.M30%'!J16+'F.F.M.70%'!J16+'F.F.M.ESTIIMACIONES 2014'!J16</f>
        <v>592448.71295340289</v>
      </c>
      <c r="K13" s="702">
        <f>'F.F.M30%'!K16+'F.F.M.70%'!K16+'F.F.M.ESTIIMACIONES 2014'!K16</f>
        <v>614837.26743838424</v>
      </c>
      <c r="L13" s="702">
        <f>'F.F.M30%'!L16+'F.F.M.70%'!L16+'F.F.M.ESTIIMACIONES 2014'!L16</f>
        <v>616992.54147611849</v>
      </c>
      <c r="M13" s="702">
        <f>'F.F.M30%'!M16+'F.F.M.70%'!M16+'F.F.M.ESTIIMACIONES 2014'!M16</f>
        <v>569685.9413145415</v>
      </c>
      <c r="N13" s="702">
        <f>'F.F.M30%'!N16+'F.F.M.70%'!N16+'F.F.M.ESTIIMACIONES 2014'!N16</f>
        <v>620742.54899013357</v>
      </c>
      <c r="O13" s="703">
        <f t="shared" si="0"/>
        <v>7395296.3802234204</v>
      </c>
    </row>
    <row r="14" spans="1:15" ht="12.75" customHeight="1" x14ac:dyDescent="0.2">
      <c r="A14" s="700" t="s">
        <v>158</v>
      </c>
      <c r="B14" s="720"/>
      <c r="C14" s="702">
        <f>'F.F.M30%'!C17+'F.F.M.70%'!C17+'F.F.M.ESTIIMACIONES 2014'!C17</f>
        <v>1156449.056268991</v>
      </c>
      <c r="D14" s="702">
        <f>'F.F.M30%'!D17+'F.F.M.70%'!D17+'F.F.M.ESTIIMACIONES 2014'!D17</f>
        <v>1902586.0968373506</v>
      </c>
      <c r="E14" s="702">
        <f>'F.F.M30%'!E17+'F.F.M.70%'!E17+'F.F.M.ESTIIMACIONES 2014'!E17</f>
        <v>1480407.4128489834</v>
      </c>
      <c r="F14" s="702">
        <f>'F.F.M30%'!F17+'F.F.M.70%'!F17+'F.F.M.ESTIIMACIONES 2014'!F17</f>
        <v>1922780.0141372692</v>
      </c>
      <c r="G14" s="702">
        <f>'F.F.M30%'!G17+'F.F.M.70%'!G17+'F.F.M.ESTIIMACIONES 2014'!G17</f>
        <v>1801356.2616479157</v>
      </c>
      <c r="H14" s="702">
        <f>'F.F.M30%'!H17+'F.F.M.70%'!H17+'F.F.M.ESTIIMACIONES 2014'!H17</f>
        <v>1377962.2334967412</v>
      </c>
      <c r="I14" s="702">
        <f>'F.F.M30%'!I17+'F.F.M.70%'!I17+'F.F.M.ESTIIMACIONES 2014'!I17</f>
        <v>1441777.0789501981</v>
      </c>
      <c r="J14" s="702">
        <f>'F.F.M30%'!J17+'F.F.M.70%'!J17+'F.F.M.ESTIIMACIONES 2014'!J17</f>
        <v>1702567.2768230508</v>
      </c>
      <c r="K14" s="702">
        <f>'F.F.M30%'!K17+'F.F.M.70%'!K17+'F.F.M.ESTIIMACIONES 2014'!K17</f>
        <v>1322148.2221819097</v>
      </c>
      <c r="L14" s="702">
        <f>'F.F.M30%'!L17+'F.F.M.70%'!L17+'F.F.M.ESTIIMACIONES 2014'!L17</f>
        <v>1364090.750511779</v>
      </c>
      <c r="M14" s="702">
        <f>'F.F.M30%'!M17+'F.F.M.70%'!M17+'F.F.M.ESTIIMACIONES 2014'!M17</f>
        <v>1418716.9431676762</v>
      </c>
      <c r="N14" s="702">
        <f>'F.F.M30%'!N17+'F.F.M.70%'!N17+'F.F.M.ESTIIMACIONES 2014'!N17</f>
        <v>1362041.1591489017</v>
      </c>
      <c r="O14" s="703">
        <f t="shared" si="0"/>
        <v>18252882.506020766</v>
      </c>
    </row>
    <row r="15" spans="1:15" ht="12.75" customHeight="1" x14ac:dyDescent="0.2">
      <c r="A15" s="700" t="s">
        <v>159</v>
      </c>
      <c r="B15" s="720"/>
      <c r="C15" s="702">
        <f>'F.F.M30%'!C18+'F.F.M.70%'!C18+'F.F.M.ESTIIMACIONES 2014'!C18</f>
        <v>1198995.3913004519</v>
      </c>
      <c r="D15" s="702">
        <f>'F.F.M30%'!D18+'F.F.M.70%'!D18+'F.F.M.ESTIIMACIONES 2014'!D18</f>
        <v>1457327.6284549618</v>
      </c>
      <c r="E15" s="702">
        <f>'F.F.M30%'!E18+'F.F.M.70%'!E18+'F.F.M.ESTIIMACIONES 2014'!E18</f>
        <v>1214813.3260786734</v>
      </c>
      <c r="F15" s="702">
        <f>'F.F.M30%'!F18+'F.F.M.70%'!F18+'F.F.M.ESTIIMACIONES 2014'!F18</f>
        <v>1377425.2882372141</v>
      </c>
      <c r="G15" s="702">
        <f>'F.F.M30%'!G18+'F.F.M.70%'!G18+'F.F.M.ESTIIMACIONES 2014'!G18</f>
        <v>1187325.6268102911</v>
      </c>
      <c r="H15" s="702">
        <f>'F.F.M30%'!H18+'F.F.M.70%'!H18+'F.F.M.ESTIIMACIONES 2014'!H18</f>
        <v>1201507.5673629723</v>
      </c>
      <c r="I15" s="702">
        <f>'F.F.M30%'!I18+'F.F.M.70%'!I18+'F.F.M.ESTIIMACIONES 2014'!I18</f>
        <v>1331334.8906392581</v>
      </c>
      <c r="J15" s="702">
        <f>'F.F.M30%'!J18+'F.F.M.70%'!J18+'F.F.M.ESTIIMACIONES 2014'!J18</f>
        <v>1203834.2359865452</v>
      </c>
      <c r="K15" s="702">
        <f>'F.F.M30%'!K18+'F.F.M.70%'!K18+'F.F.M.ESTIIMACIONES 2014'!K18</f>
        <v>1269276.8625004927</v>
      </c>
      <c r="L15" s="702">
        <f>'F.F.M30%'!L18+'F.F.M.70%'!L18+'F.F.M.ESTIIMACIONES 2014'!L18</f>
        <v>1272052.7716662299</v>
      </c>
      <c r="M15" s="702">
        <f>'F.F.M30%'!M18+'F.F.M.70%'!M18+'F.F.M.ESTIIMACIONES 2014'!M18</f>
        <v>1167379.1380914077</v>
      </c>
      <c r="N15" s="702">
        <f>'F.F.M30%'!N18+'F.F.M.70%'!N18+'F.F.M.ESTIIMACIONES 2014'!N18</f>
        <v>1280247.9806262888</v>
      </c>
      <c r="O15" s="703">
        <f t="shared" si="0"/>
        <v>15161520.707754789</v>
      </c>
    </row>
    <row r="16" spans="1:15" ht="12.75" customHeight="1" x14ac:dyDescent="0.2">
      <c r="A16" s="700" t="s">
        <v>160</v>
      </c>
      <c r="B16" s="720"/>
      <c r="C16" s="702">
        <f>'F.F.M30%'!C19+'F.F.M.70%'!C19+'F.F.M.ESTIIMACIONES 2014'!C19</f>
        <v>1697830.7671979871</v>
      </c>
      <c r="D16" s="702">
        <f>'F.F.M30%'!D19+'F.F.M.70%'!D19+'F.F.M.ESTIIMACIONES 2014'!D19</f>
        <v>2097626.210178114</v>
      </c>
      <c r="E16" s="702">
        <f>'F.F.M30%'!E19+'F.F.M.70%'!E19+'F.F.M.ESTIIMACIONES 2014'!E19</f>
        <v>1741340.2963200621</v>
      </c>
      <c r="F16" s="702">
        <f>'F.F.M30%'!F19+'F.F.M.70%'!F19+'F.F.M.ESTIIMACIONES 2014'!F19</f>
        <v>1991132.1531262868</v>
      </c>
      <c r="G16" s="702">
        <f>'F.F.M30%'!G19+'F.F.M.70%'!G19+'F.F.M.ESTIIMACIONES 2014'!G19</f>
        <v>1726177.6940900674</v>
      </c>
      <c r="H16" s="702">
        <f>'F.F.M30%'!H19+'F.F.M.70%'!H19+'F.F.M.ESTIIMACIONES 2014'!H19</f>
        <v>1716370.6446370792</v>
      </c>
      <c r="I16" s="702">
        <f>'F.F.M30%'!I19+'F.F.M.70%'!I19+'F.F.M.ESTIIMACIONES 2014'!I19</f>
        <v>1896012.6733886604</v>
      </c>
      <c r="J16" s="702">
        <f>'F.F.M30%'!J19+'F.F.M.70%'!J19+'F.F.M.ESTIIMACIONES 2014'!J19</f>
        <v>1741710.029471637</v>
      </c>
      <c r="K16" s="702">
        <f>'F.F.M30%'!K19+'F.F.M.70%'!K19+'F.F.M.ESTIIMACIONES 2014'!K19</f>
        <v>1804048.1612833256</v>
      </c>
      <c r="L16" s="702">
        <f>'F.F.M30%'!L19+'F.F.M.70%'!L19+'F.F.M.ESTIIMACIONES 2014'!L19</f>
        <v>1810664.1254716187</v>
      </c>
      <c r="M16" s="702">
        <f>'F.F.M30%'!M19+'F.F.M.70%'!M19+'F.F.M.ESTIIMACIONES 2014'!M19</f>
        <v>1673081.3529459818</v>
      </c>
      <c r="N16" s="702">
        <f>'F.F.M30%'!N19+'F.F.M.70%'!N19+'F.F.M.ESTIIMACIONES 2014'!N19</f>
        <v>1821588.1997409996</v>
      </c>
      <c r="O16" s="703">
        <f t="shared" si="0"/>
        <v>21717582.307851821</v>
      </c>
    </row>
    <row r="17" spans="1:15" ht="12.75" customHeight="1" x14ac:dyDescent="0.2">
      <c r="A17" s="700" t="s">
        <v>290</v>
      </c>
      <c r="B17" s="720"/>
      <c r="C17" s="702">
        <f>'F.F.M30%'!C20+'F.F.M.70%'!C20+'F.F.M.ESTIIMACIONES 2014'!C20</f>
        <v>761613.5792580971</v>
      </c>
      <c r="D17" s="702">
        <f>'F.F.M30%'!D20+'F.F.M.70%'!D20+'F.F.M.ESTIIMACIONES 2014'!D20</f>
        <v>905992.81141429383</v>
      </c>
      <c r="E17" s="702">
        <f>'F.F.M30%'!E20+'F.F.M.70%'!E20+'F.F.M.ESTIIMACIONES 2014'!E20</f>
        <v>759414.43073967914</v>
      </c>
      <c r="F17" s="702">
        <f>'F.F.M30%'!F20+'F.F.M.70%'!F20+'F.F.M.ESTIIMACIONES 2014'!F20</f>
        <v>851379.51663453854</v>
      </c>
      <c r="G17" s="702">
        <f>'F.F.M30%'!G20+'F.F.M.70%'!G20+'F.F.M.ESTIIMACIONES 2014'!G20</f>
        <v>728169.4516039209</v>
      </c>
      <c r="H17" s="702">
        <f>'F.F.M30%'!H20+'F.F.M.70%'!H20+'F.F.M.ESTIIMACIONES 2014'!H20</f>
        <v>754517.56504855142</v>
      </c>
      <c r="I17" s="702">
        <f>'F.F.M30%'!I20+'F.F.M.70%'!I20+'F.F.M.ESTIIMACIONES 2014'!I20</f>
        <v>839421.2377026974</v>
      </c>
      <c r="J17" s="702">
        <f>'F.F.M30%'!J20+'F.F.M.70%'!J20+'F.F.M.ESTIIMACIONES 2014'!J20</f>
        <v>743206.7423555475</v>
      </c>
      <c r="K17" s="702">
        <f>'F.F.M30%'!K20+'F.F.M.70%'!K20+'F.F.M.ESTIIMACIONES 2014'!K20</f>
        <v>802372.69288913498</v>
      </c>
      <c r="L17" s="702">
        <f>'F.F.M30%'!L20+'F.F.M.70%'!L20+'F.F.M.ESTIIMACIONES 2014'!L20</f>
        <v>802578.24641826865</v>
      </c>
      <c r="M17" s="702">
        <f>'F.F.M30%'!M20+'F.F.M.70%'!M20+'F.F.M.ESTIIMACIONES 2014'!M20</f>
        <v>729916.12466074026</v>
      </c>
      <c r="N17" s="702">
        <f>'F.F.M30%'!N20+'F.F.M.70%'!N20+'F.F.M.ESTIIMACIONES 2014'!N20</f>
        <v>808178.81929822685</v>
      </c>
      <c r="O17" s="703">
        <f t="shared" si="0"/>
        <v>9486761.2180236969</v>
      </c>
    </row>
    <row r="18" spans="1:15" ht="12.75" customHeight="1" x14ac:dyDescent="0.2">
      <c r="A18" s="700" t="s">
        <v>291</v>
      </c>
      <c r="B18" s="720"/>
      <c r="C18" s="702">
        <f>'F.F.M30%'!C21+'F.F.M.70%'!C21+'F.F.M.ESTIIMACIONES 2014'!C21</f>
        <v>1016033.2176919908</v>
      </c>
      <c r="D18" s="702">
        <f>'F.F.M30%'!D21+'F.F.M.70%'!D21+'F.F.M.ESTIIMACIONES 2014'!D21</f>
        <v>1250789.006512187</v>
      </c>
      <c r="E18" s="702">
        <f>'F.F.M30%'!E21+'F.F.M.70%'!E21+'F.F.M.ESTIIMACIONES 2014'!E21</f>
        <v>1039279.1901079564</v>
      </c>
      <c r="F18" s="702">
        <f>'F.F.M30%'!F21+'F.F.M.70%'!F21+'F.F.M.ESTIIMACIONES 2014'!F21</f>
        <v>1186180.2612147441</v>
      </c>
      <c r="G18" s="702">
        <f>'F.F.M30%'!G21+'F.F.M.70%'!G21+'F.F.M.ESTIIMACIONES 2014'!G21</f>
        <v>1027063.5035879205</v>
      </c>
      <c r="H18" s="702">
        <f>'F.F.M30%'!H21+'F.F.M.70%'!H21+'F.F.M.ESTIIMACIONES 2014'!H21</f>
        <v>1025146.9115024777</v>
      </c>
      <c r="I18" s="702">
        <f>'F.F.M30%'!I21+'F.F.M.70%'!I21+'F.F.M.ESTIIMACIONES 2014'!I21</f>
        <v>1133205.3894774662</v>
      </c>
      <c r="J18" s="702">
        <f>'F.F.M30%'!J21+'F.F.M.70%'!J21+'F.F.M.ESTIIMACIONES 2014'!J21</f>
        <v>1037395.8068633722</v>
      </c>
      <c r="K18" s="702">
        <f>'F.F.M30%'!K21+'F.F.M.70%'!K21+'F.F.M.ESTIIMACIONES 2014'!K21</f>
        <v>1078711.5461154496</v>
      </c>
      <c r="L18" s="702">
        <f>'F.F.M30%'!L21+'F.F.M.70%'!L21+'F.F.M.ESTIIMACIONES 2014'!L21</f>
        <v>1082315.6829480864</v>
      </c>
      <c r="M18" s="702">
        <f>'F.F.M30%'!M21+'F.F.M.70%'!M21+'F.F.M.ESTIIMACIONES 2014'!M21</f>
        <v>998575.10971697618</v>
      </c>
      <c r="N18" s="702">
        <f>'F.F.M30%'!N21+'F.F.M.70%'!N21+'F.F.M.ESTIIMACIONES 2014'!N21</f>
        <v>1088942.9882452299</v>
      </c>
      <c r="O18" s="703">
        <f t="shared" si="0"/>
        <v>12963638.613983857</v>
      </c>
    </row>
    <row r="19" spans="1:15" ht="12.75" customHeight="1" x14ac:dyDescent="0.2">
      <c r="A19" s="700" t="s">
        <v>292</v>
      </c>
      <c r="B19" s="720"/>
      <c r="C19" s="702">
        <f>'F.F.M30%'!C22+'F.F.M.70%'!C22+'F.F.M.ESTIIMACIONES 2014'!C22</f>
        <v>3452522.7461396093</v>
      </c>
      <c r="D19" s="702">
        <f>'F.F.M30%'!D22+'F.F.M.70%'!D22+'F.F.M.ESTIIMACIONES 2014'!D22</f>
        <v>5865433.5404198831</v>
      </c>
      <c r="E19" s="702">
        <f>'F.F.M30%'!E22+'F.F.M.70%'!E22+'F.F.M.ESTIIMACIONES 2014'!E22</f>
        <v>4534820.7357146032</v>
      </c>
      <c r="F19" s="702">
        <f>'F.F.M30%'!F22+'F.F.M.70%'!F22+'F.F.M.ESTIIMACIONES 2014'!F22</f>
        <v>5961996.7527821064</v>
      </c>
      <c r="G19" s="702">
        <f>'F.F.M30%'!G22+'F.F.M.70%'!G22+'F.F.M.ESTIIMACIONES 2014'!G22</f>
        <v>5622590.0255193422</v>
      </c>
      <c r="H19" s="702">
        <f>'F.F.M30%'!H22+'F.F.M.70%'!H22+'F.F.M.ESTIIMACIONES 2014'!H22</f>
        <v>4195553.3222959852</v>
      </c>
      <c r="I19" s="702">
        <f>'F.F.M30%'!I22+'F.F.M.70%'!I22+'F.F.M.ESTIIMACIONES 2014'!I22</f>
        <v>4363167.1274244376</v>
      </c>
      <c r="J19" s="702">
        <f>'F.F.M30%'!J22+'F.F.M.70%'!J22+'F.F.M.ESTIIMACIONES 2014'!J22</f>
        <v>5284876.4192676023</v>
      </c>
      <c r="K19" s="702">
        <f>'F.F.M30%'!K22+'F.F.M.70%'!K22+'F.F.M.ESTIIMACIONES 2014'!K22</f>
        <v>3983727.5368162943</v>
      </c>
      <c r="L19" s="702">
        <f>'F.F.M30%'!L22+'F.F.M.70%'!L22+'F.F.M.ESTIIMACIONES 2014'!L22</f>
        <v>4123589.5760894706</v>
      </c>
      <c r="M19" s="702">
        <f>'F.F.M30%'!M22+'F.F.M.70%'!M22+'F.F.M.ESTIIMACIONES 2014'!M22</f>
        <v>4344701.8979431475</v>
      </c>
      <c r="N19" s="702">
        <f>'F.F.M30%'!N22+'F.F.M.70%'!N22+'F.F.M.ESTIIMACIONES 2014'!N22</f>
        <v>4113758.0954299322</v>
      </c>
      <c r="O19" s="703">
        <f t="shared" si="0"/>
        <v>55846737.775842413</v>
      </c>
    </row>
    <row r="20" spans="1:15" ht="12.75" customHeight="1" x14ac:dyDescent="0.2">
      <c r="A20" s="700" t="s">
        <v>164</v>
      </c>
      <c r="B20" s="720"/>
      <c r="C20" s="702">
        <f>'F.F.M30%'!C23+'F.F.M.70%'!C23+'F.F.M.ESTIIMACIONES 2014'!C23</f>
        <v>1270818.4104380179</v>
      </c>
      <c r="D20" s="702">
        <f>'F.F.M30%'!D23+'F.F.M.70%'!D23+'F.F.M.ESTIIMACIONES 2014'!D23</f>
        <v>1584021.0721998415</v>
      </c>
      <c r="E20" s="702">
        <f>'F.F.M30%'!E23+'F.F.M.70%'!E23+'F.F.M.ESTIIMACIONES 2014'!E23</f>
        <v>1312055.0938167723</v>
      </c>
      <c r="F20" s="702">
        <f>'F.F.M30%'!F23+'F.F.M.70%'!F23+'F.F.M.ESTIIMACIONES 2014'!F23</f>
        <v>1507042.3767701709</v>
      </c>
      <c r="G20" s="702">
        <f>'F.F.M30%'!G23+'F.F.M.70%'!G23+'F.F.M.ESTIIMACIONES 2014'!G23</f>
        <v>1310464.5335766501</v>
      </c>
      <c r="H20" s="702">
        <f>'F.F.M30%'!H23+'F.F.M.70%'!H23+'F.F.M.ESTIIMACIONES 2014'!H23</f>
        <v>1290848.6512477433</v>
      </c>
      <c r="I20" s="702">
        <f>'F.F.M30%'!I23+'F.F.M.70%'!I23+'F.F.M.ESTIIMACIONES 2014'!I23</f>
        <v>1423585.2737751775</v>
      </c>
      <c r="J20" s="702">
        <f>'F.F.M30%'!J23+'F.F.M.70%'!J23+'F.F.M.ESTIIMACIONES 2014'!J23</f>
        <v>1318868.6905712103</v>
      </c>
      <c r="K20" s="702">
        <f>'F.F.M30%'!K23+'F.F.M.70%'!K23+'F.F.M.ESTIIMACIONES 2014'!K23</f>
        <v>1353071.5194521113</v>
      </c>
      <c r="L20" s="702">
        <f>'F.F.M30%'!L23+'F.F.M.70%'!L23+'F.F.M.ESTIIMACIONES 2014'!L23</f>
        <v>1359126.3134938737</v>
      </c>
      <c r="M20" s="702">
        <f>'F.F.M30%'!M23+'F.F.M.70%'!M23+'F.F.M.ESTIIMACIONES 2014'!M23</f>
        <v>1260515.9266944504</v>
      </c>
      <c r="N20" s="702">
        <f>'F.F.M30%'!N23+'F.F.M.70%'!N23+'F.F.M.ESTIIMACIONES 2014'!N23</f>
        <v>1367023.3704898229</v>
      </c>
      <c r="O20" s="703">
        <f t="shared" si="0"/>
        <v>16357441.232525842</v>
      </c>
    </row>
    <row r="21" spans="1:15" ht="12.75" customHeight="1" x14ac:dyDescent="0.2">
      <c r="A21" s="700" t="s">
        <v>165</v>
      </c>
      <c r="B21" s="720"/>
      <c r="C21" s="702">
        <f>'F.F.M30%'!C24+'F.F.M.70%'!C24+'F.F.M.ESTIIMACIONES 2014'!C24</f>
        <v>14367014.879421785</v>
      </c>
      <c r="D21" s="702">
        <f>'F.F.M30%'!D24+'F.F.M.70%'!D24+'F.F.M.ESTIIMACIONES 2014'!D24</f>
        <v>18667877.521898501</v>
      </c>
      <c r="E21" s="702">
        <f>'F.F.M30%'!E24+'F.F.M.70%'!E24+'F.F.M.ESTIIMACIONES 2014'!E24</f>
        <v>15305297.808836445</v>
      </c>
      <c r="F21" s="702">
        <f>'F.F.M30%'!F24+'F.F.M.70%'!F24+'F.F.M.ESTIIMACIONES 2014'!F24</f>
        <v>17946346.754670944</v>
      </c>
      <c r="G21" s="702">
        <f>'F.F.M30%'!G24+'F.F.M.70%'!G24+'F.F.M.ESTIIMACIONES 2014'!G24</f>
        <v>15818678.536347372</v>
      </c>
      <c r="H21" s="702">
        <f>'F.F.M30%'!H24+'F.F.M.70%'!H24+'F.F.M.ESTIIMACIONES 2014'!H24</f>
        <v>14928511.634624111</v>
      </c>
      <c r="I21" s="702">
        <f>'F.F.M30%'!I24+'F.F.M.70%'!I24+'F.F.M.ESTIIMACIONES 2014'!I24</f>
        <v>16335236.478311215</v>
      </c>
      <c r="J21" s="702">
        <f>'F.F.M30%'!J24+'F.F.M.70%'!J24+'F.F.M.ESTIIMACIONES 2014'!J24</f>
        <v>15738264.763175528</v>
      </c>
      <c r="K21" s="702">
        <f>'F.F.M30%'!K24+'F.F.M.70%'!K24+'F.F.M.ESTIIMACIONES 2014'!K24</f>
        <v>15446646.487268282</v>
      </c>
      <c r="L21" s="702">
        <f>'F.F.M30%'!L24+'F.F.M.70%'!L24+'F.F.M.ESTIIMACIONES 2014'!L24</f>
        <v>15575144.943886358</v>
      </c>
      <c r="M21" s="702">
        <f>'F.F.M30%'!M24+'F.F.M.70%'!M24+'F.F.M.ESTIIMACIONES 2014'!M24</f>
        <v>14698254.983237699</v>
      </c>
      <c r="N21" s="702">
        <f>'F.F.M30%'!N24+'F.F.M.70%'!N24+'F.F.M.ESTIIMACIONES 2014'!N24</f>
        <v>15649201.376832593</v>
      </c>
      <c r="O21" s="703">
        <f t="shared" si="0"/>
        <v>190476476.16851085</v>
      </c>
    </row>
    <row r="22" spans="1:15" ht="12.75" customHeight="1" x14ac:dyDescent="0.2">
      <c r="A22" s="700" t="s">
        <v>166</v>
      </c>
      <c r="B22" s="720"/>
      <c r="C22" s="702">
        <f>'F.F.M30%'!C25+'F.F.M.70%'!C25+'F.F.M.ESTIIMACIONES 2014'!C25</f>
        <v>1479457.5680368685</v>
      </c>
      <c r="D22" s="702">
        <f>'F.F.M30%'!D25+'F.F.M.70%'!D25+'F.F.M.ESTIIMACIONES 2014'!D25</f>
        <v>2224485.7842178992</v>
      </c>
      <c r="E22" s="702">
        <f>'F.F.M30%'!E25+'F.F.M.70%'!E25+'F.F.M.ESTIIMACIONES 2014'!E25</f>
        <v>1763758.7804898927</v>
      </c>
      <c r="F22" s="702">
        <f>'F.F.M30%'!F25+'F.F.M.70%'!F25+'F.F.M.ESTIIMACIONES 2014'!F25</f>
        <v>2209316.916267023</v>
      </c>
      <c r="G22" s="702">
        <f>'F.F.M30%'!G25+'F.F.M.70%'!G25+'F.F.M.ESTIIMACIONES 2014'!G25</f>
        <v>2027869.7382710786</v>
      </c>
      <c r="H22" s="702">
        <f>'F.F.M30%'!H25+'F.F.M.70%'!H25+'F.F.M.ESTIIMACIONES 2014'!H25</f>
        <v>1670477.930122786</v>
      </c>
      <c r="I22" s="702">
        <f>'F.F.M30%'!I25+'F.F.M.70%'!I25+'F.F.M.ESTIIMACIONES 2014'!I25</f>
        <v>1778004.2320913929</v>
      </c>
      <c r="J22" s="702">
        <f>'F.F.M30%'!J25+'F.F.M.70%'!J25+'F.F.M.ESTIIMACIONES 2014'!J25</f>
        <v>1949848.0176899685</v>
      </c>
      <c r="K22" s="702">
        <f>'F.F.M30%'!K25+'F.F.M.70%'!K25+'F.F.M.ESTIIMACIONES 2014'!K25</f>
        <v>1650160.7863364599</v>
      </c>
      <c r="L22" s="702">
        <f>'F.F.M30%'!L25+'F.F.M.70%'!L25+'F.F.M.ESTIIMACIONES 2014'!L25</f>
        <v>1687264.9584661045</v>
      </c>
      <c r="M22" s="702">
        <f>'F.F.M30%'!M25+'F.F.M.70%'!M25+'F.F.M.ESTIIMACIONES 2014'!M25</f>
        <v>1691557.2580400421</v>
      </c>
      <c r="N22" s="702">
        <f>'F.F.M30%'!N25+'F.F.M.70%'!N25+'F.F.M.ESTIIMACIONES 2014'!N25</f>
        <v>1688839.2888366948</v>
      </c>
      <c r="O22" s="703">
        <f t="shared" si="0"/>
        <v>21821041.25886621</v>
      </c>
    </row>
    <row r="23" spans="1:15" ht="12.75" customHeight="1" thickBot="1" x14ac:dyDescent="0.25">
      <c r="A23" s="700" t="s">
        <v>167</v>
      </c>
      <c r="B23" s="720"/>
      <c r="C23" s="702">
        <f>'F.F.M30%'!C26+'F.F.M.70%'!C26+'F.F.M.ESTIIMACIONES 2014'!C26</f>
        <v>1178051.0906714078</v>
      </c>
      <c r="D23" s="702">
        <f>'F.F.M30%'!D26+'F.F.M.70%'!D26+'F.F.M.ESTIIMACIONES 2014'!D26</f>
        <v>1661529.2658779891</v>
      </c>
      <c r="E23" s="702">
        <f>'F.F.M30%'!E26+'F.F.M.70%'!E26+'F.F.M.ESTIIMACIONES 2014'!E26</f>
        <v>1336248.6917779776</v>
      </c>
      <c r="F23" s="702">
        <f>'F.F.M30%'!F26+'F.F.M.70%'!F26+'F.F.M.ESTIIMACIONES 2014'!F26</f>
        <v>1627968.4969587582</v>
      </c>
      <c r="G23" s="702">
        <f>'F.F.M30%'!G26+'F.F.M.70%'!G26+'F.F.M.ESTIIMACIONES 2014'!G26</f>
        <v>1469808.4783426879</v>
      </c>
      <c r="H23" s="702">
        <f>'F.F.M30%'!H26+'F.F.M.70%'!H26+'F.F.M.ESTIIMACIONES 2014'!H26</f>
        <v>1281764.4259842723</v>
      </c>
      <c r="I23" s="702">
        <f>'F.F.M30%'!I26+'F.F.M.70%'!I26+'F.F.M.ESTIIMACIONES 2014'!I26</f>
        <v>1380947.4136173469</v>
      </c>
      <c r="J23" s="702">
        <f>'F.F.M30%'!J26+'F.F.M.70%'!J26+'F.F.M.ESTIIMACIONES 2014'!J26</f>
        <v>1433018.5700059733</v>
      </c>
      <c r="K23" s="702">
        <f>'F.F.M30%'!K26+'F.F.M.70%'!K26+'F.F.M.ESTIIMACIONES 2014'!K26</f>
        <v>1292351.3935215734</v>
      </c>
      <c r="L23" s="702">
        <f>'F.F.M30%'!L26+'F.F.M.70%'!L26+'F.F.M.ESTIIMACIONES 2014'!L26</f>
        <v>1313223.8503088667</v>
      </c>
      <c r="M23" s="702">
        <f>'F.F.M30%'!M26+'F.F.M.70%'!M26+'F.F.M.ESTIIMACIONES 2014'!M26</f>
        <v>1282277.2052264835</v>
      </c>
      <c r="N23" s="702">
        <f>'F.F.M30%'!N26+'F.F.M.70%'!N26+'F.F.M.ESTIIMACIONES 2014'!N26</f>
        <v>1316676.0048981314</v>
      </c>
      <c r="O23" s="703">
        <f t="shared" si="0"/>
        <v>16573864.887191467</v>
      </c>
    </row>
    <row r="24" spans="1:15" ht="13.5" thickBot="1" x14ac:dyDescent="0.25">
      <c r="A24" s="705" t="s">
        <v>293</v>
      </c>
      <c r="B24" s="721">
        <f t="shared" ref="B24:N24" si="1">SUM(B4:B23)</f>
        <v>0</v>
      </c>
      <c r="C24" s="707">
        <f t="shared" si="1"/>
        <v>37628267.388506681</v>
      </c>
      <c r="D24" s="707">
        <f t="shared" si="1"/>
        <v>51757900.301817499</v>
      </c>
      <c r="E24" s="707">
        <f t="shared" si="1"/>
        <v>41865560.858960353</v>
      </c>
      <c r="F24" s="707">
        <f t="shared" si="1"/>
        <v>50428929.238493621</v>
      </c>
      <c r="G24" s="707">
        <f t="shared" si="1"/>
        <v>45213476.96741984</v>
      </c>
      <c r="H24" s="707">
        <f t="shared" si="1"/>
        <v>40362062.524436094</v>
      </c>
      <c r="I24" s="707">
        <f t="shared" si="1"/>
        <v>43692336.180397324</v>
      </c>
      <c r="J24" s="707">
        <f t="shared" si="1"/>
        <v>44341481.060049102</v>
      </c>
      <c r="K24" s="707">
        <f t="shared" si="1"/>
        <v>41020424.644420117</v>
      </c>
      <c r="L24" s="707">
        <f t="shared" si="1"/>
        <v>41583359.918350689</v>
      </c>
      <c r="M24" s="707">
        <f t="shared" si="1"/>
        <v>40183769.856972776</v>
      </c>
      <c r="N24" s="707">
        <f t="shared" si="1"/>
        <v>41719928.060175881</v>
      </c>
      <c r="O24" s="707">
        <f t="shared" si="0"/>
        <v>519797496.99999994</v>
      </c>
    </row>
    <row r="25" spans="1:15" x14ac:dyDescent="0.2">
      <c r="A25" s="708"/>
      <c r="B25" s="708"/>
      <c r="C25" s="708"/>
      <c r="D25" s="708"/>
      <c r="E25" s="708"/>
      <c r="F25" s="708"/>
      <c r="G25" s="708"/>
      <c r="H25" s="708"/>
      <c r="I25" s="708"/>
      <c r="J25" s="708"/>
      <c r="K25" s="708"/>
      <c r="L25" s="708"/>
      <c r="M25" s="708"/>
      <c r="N25" s="708"/>
      <c r="O25" s="708"/>
    </row>
    <row r="26" spans="1:15" x14ac:dyDescent="0.2">
      <c r="A26" s="709" t="s">
        <v>294</v>
      </c>
      <c r="M26" s="704"/>
      <c r="O26" s="704"/>
    </row>
    <row r="28" spans="1:15" x14ac:dyDescent="0.2">
      <c r="M28" s="704"/>
    </row>
    <row r="29" spans="1:15" x14ac:dyDescent="0.2">
      <c r="O29" s="704"/>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Q26"/>
  <sheetViews>
    <sheetView workbookViewId="0">
      <selection activeCell="C7" sqref="C7"/>
    </sheetView>
  </sheetViews>
  <sheetFormatPr baseColWidth="10" defaultRowHeight="12.75" x14ac:dyDescent="0.2"/>
  <cols>
    <col min="1" max="1" width="16.5703125" style="695" customWidth="1"/>
    <col min="2" max="2" width="9.28515625" style="695" hidden="1" customWidth="1"/>
    <col min="3" max="7" width="7.85546875" style="695" bestFit="1" customWidth="1"/>
    <col min="8" max="10" width="7.85546875" style="695" customWidth="1"/>
    <col min="11" max="11" width="9.42578125" style="695" customWidth="1"/>
    <col min="12" max="12" width="7.85546875" style="695" customWidth="1"/>
    <col min="13" max="13" width="9.7109375" style="695" customWidth="1"/>
    <col min="14" max="14" width="9" style="695" customWidth="1"/>
    <col min="15" max="15" width="8.7109375" style="695" bestFit="1" customWidth="1"/>
    <col min="16" max="16" width="12.7109375" style="695" bestFit="1" customWidth="1"/>
    <col min="17" max="16384" width="11.42578125" style="695"/>
  </cols>
  <sheetData>
    <row r="1" spans="1:17" x14ac:dyDescent="0.2">
      <c r="A1" s="958" t="s">
        <v>428</v>
      </c>
      <c r="B1" s="958"/>
      <c r="C1" s="958"/>
      <c r="D1" s="958"/>
      <c r="E1" s="958"/>
      <c r="F1" s="958"/>
      <c r="G1" s="958"/>
      <c r="H1" s="958"/>
      <c r="I1" s="958"/>
      <c r="J1" s="958"/>
      <c r="K1" s="958"/>
      <c r="L1" s="958"/>
      <c r="M1" s="958"/>
      <c r="N1" s="958"/>
      <c r="O1" s="958"/>
    </row>
    <row r="2" spans="1:17" ht="13.5" thickBot="1" x14ac:dyDescent="0.25"/>
    <row r="3" spans="1:17"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ht="12.75" customHeight="1" x14ac:dyDescent="0.2">
      <c r="A4" s="700" t="s">
        <v>287</v>
      </c>
      <c r="B4" s="711"/>
      <c r="C4" s="702">
        <f>' FOCO INCREMENTO'!C7+' FOCO ESTIMACION'!C7</f>
        <v>293071.38094113616</v>
      </c>
      <c r="D4" s="702">
        <f>' FOCO INCREMENTO'!D7+' FOCO ESTIMACION'!D7</f>
        <v>295230.63445575966</v>
      </c>
      <c r="E4" s="702">
        <f>' FOCO INCREMENTO'!E7+' FOCO ESTIMACION'!E7</f>
        <v>287468.89670337556</v>
      </c>
      <c r="F4" s="702">
        <f>' FOCO INCREMENTO'!F7+' FOCO ESTIMACION'!F7</f>
        <v>305241.69569530652</v>
      </c>
      <c r="G4" s="702">
        <f>' FOCO INCREMENTO'!G7+' FOCO ESTIMACION'!G7</f>
        <v>302443.59145698301</v>
      </c>
      <c r="H4" s="702">
        <f>' FOCO INCREMENTO'!H7+' FOCO ESTIMACION'!H7</f>
        <v>310935.35706946446</v>
      </c>
      <c r="I4" s="702">
        <f>' FOCO INCREMENTO'!I7+' FOCO ESTIMACION'!I7</f>
        <v>299723.71469322289</v>
      </c>
      <c r="J4" s="702">
        <f>' FOCO INCREMENTO'!J7+' FOCO ESTIMACION'!J7</f>
        <v>303799.93898461858</v>
      </c>
      <c r="K4" s="702">
        <f>' FOCO INCREMENTO'!K7+' FOCO ESTIMACION'!K7</f>
        <v>295860.99207054696</v>
      </c>
      <c r="L4" s="702">
        <f>' FOCO INCREMENTO'!L7+' FOCO ESTIMACION'!L7</f>
        <v>287253.18242701917</v>
      </c>
      <c r="M4" s="702">
        <f>' FOCO INCREMENTO'!M7+' FOCO ESTIMACION'!M7</f>
        <v>292569.28234723891</v>
      </c>
      <c r="N4" s="702">
        <f>' FOCO INCREMENTO'!N7+' FOCO ESTIMACION'!N7</f>
        <v>271071.73589895893</v>
      </c>
      <c r="O4" s="703">
        <f>SUM(C4:N4)</f>
        <v>3544670.402743631</v>
      </c>
      <c r="P4" s="704"/>
      <c r="Q4" s="704"/>
    </row>
    <row r="5" spans="1:17" ht="12.75" customHeight="1" x14ac:dyDescent="0.2">
      <c r="A5" s="700" t="s">
        <v>149</v>
      </c>
      <c r="B5" s="712"/>
      <c r="C5" s="702">
        <f>' FOCO INCREMENTO'!C8+' FOCO ESTIMACION'!C8</f>
        <v>167923.75088356718</v>
      </c>
      <c r="D5" s="702">
        <f>' FOCO INCREMENTO'!D8+' FOCO ESTIMACION'!D8</f>
        <v>169316.44590889825</v>
      </c>
      <c r="E5" s="702">
        <f>' FOCO INCREMENTO'!E8+' FOCO ESTIMACION'!E8</f>
        <v>143476.72168163006</v>
      </c>
      <c r="F5" s="702">
        <f>' FOCO INCREMENTO'!F8+' FOCO ESTIMACION'!F8</f>
        <v>167657.19351858451</v>
      </c>
      <c r="G5" s="702">
        <f>' FOCO INCREMENTO'!G8+' FOCO ESTIMACION'!G8</f>
        <v>155148.51064548985</v>
      </c>
      <c r="H5" s="702">
        <f>' FOCO INCREMENTO'!H8+' FOCO ESTIMACION'!H8</f>
        <v>169816.08130581549</v>
      </c>
      <c r="I5" s="702">
        <f>' FOCO INCREMENTO'!I8+' FOCO ESTIMACION'!I8</f>
        <v>152989.85268948891</v>
      </c>
      <c r="J5" s="702">
        <f>' FOCO INCREMENTO'!J8+' FOCO ESTIMACION'!J8</f>
        <v>158269.95750445744</v>
      </c>
      <c r="K5" s="702">
        <f>' FOCO INCREMENTO'!K8+' FOCO ESTIMACION'!K8</f>
        <v>157137.50561906997</v>
      </c>
      <c r="L5" s="702">
        <f>' FOCO INCREMENTO'!L8+' FOCO ESTIMACION'!L8</f>
        <v>140750.05808218033</v>
      </c>
      <c r="M5" s="702">
        <f>' FOCO INCREMENTO'!M8+' FOCO ESTIMACION'!M8</f>
        <v>151776.72747538111</v>
      </c>
      <c r="N5" s="702">
        <f>' FOCO INCREMENTO'!N8+' FOCO ESTIMACION'!N8</f>
        <v>168514.19251680683</v>
      </c>
      <c r="O5" s="703">
        <f t="shared" ref="O5:O23" si="0">SUM(C5:N5)</f>
        <v>1902776.99783137</v>
      </c>
      <c r="P5" s="704"/>
    </row>
    <row r="6" spans="1:17" ht="12.75" customHeight="1" x14ac:dyDescent="0.2">
      <c r="A6" s="700" t="s">
        <v>150</v>
      </c>
      <c r="B6" s="712"/>
      <c r="C6" s="702">
        <f>' FOCO INCREMENTO'!C9+' FOCO ESTIMACION'!C9</f>
        <v>162497.33002536252</v>
      </c>
      <c r="D6" s="702">
        <f>' FOCO INCREMENTO'!D9+' FOCO ESTIMACION'!D9</f>
        <v>163917.36695336353</v>
      </c>
      <c r="E6" s="702">
        <f>' FOCO INCREMENTO'!E9+' FOCO ESTIMACION'!E9</f>
        <v>128959.04112502883</v>
      </c>
      <c r="F6" s="702">
        <f>' FOCO INCREMENTO'!F9+' FOCO ESTIMACION'!F9</f>
        <v>158870.7599967175</v>
      </c>
      <c r="G6" s="702">
        <f>' FOCO INCREMENTO'!G9+' FOCO ESTIMACION'!G9</f>
        <v>141692.14083376186</v>
      </c>
      <c r="H6" s="702">
        <f>' FOCO INCREMENTO'!H9+' FOCO ESTIMACION'!H9</f>
        <v>160446.45806968526</v>
      </c>
      <c r="I6" s="702">
        <f>' FOCO INCREMENTO'!I9+' FOCO ESTIMACION'!I9</f>
        <v>139323.96237907078</v>
      </c>
      <c r="J6" s="702">
        <f>' FOCO INCREMENTO'!J9+' FOCO ESTIMACION'!J9</f>
        <v>145803.48516778366</v>
      </c>
      <c r="K6" s="702">
        <f>' FOCO INCREMENTO'!K9+' FOCO ESTIMACION'!K9</f>
        <v>146297.23320160009</v>
      </c>
      <c r="L6" s="702">
        <f>' FOCO INCREMENTO'!L9+' FOCO ESTIMACION'!L9</f>
        <v>125109.31781222334</v>
      </c>
      <c r="M6" s="702">
        <f>' FOCO INCREMENTO'!M9+' FOCO ESTIMACION'!M9</f>
        <v>139492.95653689533</v>
      </c>
      <c r="N6" s="702">
        <f>' FOCO INCREMENTO'!N9+' FOCO ESTIMACION'!N9</f>
        <v>169208.51245931126</v>
      </c>
      <c r="O6" s="703">
        <f t="shared" si="0"/>
        <v>1781618.5645608038</v>
      </c>
      <c r="P6" s="704"/>
    </row>
    <row r="7" spans="1:17" ht="12.75" customHeight="1" x14ac:dyDescent="0.2">
      <c r="A7" s="700" t="s">
        <v>288</v>
      </c>
      <c r="B7" s="712"/>
      <c r="C7" s="702">
        <f>' FOCO INCREMENTO'!C10+' FOCO ESTIMACION'!C10</f>
        <v>648950.14567954827</v>
      </c>
      <c r="D7" s="702">
        <f>' FOCO INCREMENTO'!D10+' FOCO ESTIMACION'!D10</f>
        <v>653955.33323754231</v>
      </c>
      <c r="E7" s="702">
        <f>' FOCO INCREMENTO'!E10+' FOCO ESTIMACION'!E10</f>
        <v>605958.76980175229</v>
      </c>
      <c r="F7" s="702">
        <f>' FOCO INCREMENTO'!F10+' FOCO ESTIMACION'!F10</f>
        <v>665471.95690336078</v>
      </c>
      <c r="G7" s="702">
        <f>' FOCO INCREMENTO'!G10+' FOCO ESTIMACION'!G10</f>
        <v>643569.9239145224</v>
      </c>
      <c r="H7" s="702">
        <f>' FOCO INCREMENTO'!H10+' FOCO ESTIMACION'!H10</f>
        <v>676490.25220666104</v>
      </c>
      <c r="I7" s="702">
        <f>' FOCO INCREMENTO'!I10+' FOCO ESTIMACION'!I10</f>
        <v>636682.82601613738</v>
      </c>
      <c r="J7" s="702">
        <f>' FOCO INCREMENTO'!J10+' FOCO ESTIMACION'!J10</f>
        <v>649949.57533782744</v>
      </c>
      <c r="K7" s="702">
        <f>' FOCO INCREMENTO'!K10+' FOCO ESTIMACION'!K10</f>
        <v>637290.65657251002</v>
      </c>
      <c r="L7" s="702">
        <f>' FOCO INCREMENTO'!L10+' FOCO ESTIMACION'!L10</f>
        <v>601732.138300444</v>
      </c>
      <c r="M7" s="702">
        <f>' FOCO INCREMENTO'!M10+' FOCO ESTIMACION'!M10</f>
        <v>624997.48473503243</v>
      </c>
      <c r="N7" s="702">
        <f>' FOCO INCREMENTO'!N10+' FOCO ESTIMACION'!N10</f>
        <v>619240.93385230529</v>
      </c>
      <c r="O7" s="703">
        <f t="shared" si="0"/>
        <v>7664289.9965576446</v>
      </c>
      <c r="P7" s="704"/>
    </row>
    <row r="8" spans="1:17" ht="12.75" customHeight="1" x14ac:dyDescent="0.2">
      <c r="A8" s="700" t="s">
        <v>152</v>
      </c>
      <c r="B8" s="712"/>
      <c r="C8" s="702">
        <f>' FOCO INCREMENTO'!C11+' FOCO ESTIMACION'!C11</f>
        <v>471383.47329630965</v>
      </c>
      <c r="D8" s="702">
        <f>' FOCO INCREMENTO'!D11+' FOCO ESTIMACION'!D11</f>
        <v>474836.25750203704</v>
      </c>
      <c r="E8" s="702">
        <f>' FOCO INCREMENTO'!E11+' FOCO ESTIMACION'!E11</f>
        <v>465133.18937778141</v>
      </c>
      <c r="F8" s="702">
        <f>' FOCO INCREMENTO'!F11+' FOCO ESTIMACION'!F11</f>
        <v>491899.73568948405</v>
      </c>
      <c r="G8" s="702">
        <f>' FOCO INCREMENTO'!G11+' FOCO ESTIMACION'!G11</f>
        <v>488816.94766019669</v>
      </c>
      <c r="H8" s="702">
        <f>' FOCO INCREMENTO'!H11+' FOCO ESTIMACION'!H11</f>
        <v>501201.02044914151</v>
      </c>
      <c r="I8" s="702">
        <f>' FOCO INCREMENTO'!I11+' FOCO ESTIMACION'!I11</f>
        <v>484520.26060342306</v>
      </c>
      <c r="J8" s="702">
        <f>' FOCO INCREMENTO'!J11+' FOCO ESTIMACION'!J11</f>
        <v>490693.7636842819</v>
      </c>
      <c r="K8" s="702">
        <f>' FOCO INCREMENTO'!K11+' FOCO ESTIMACION'!K11</f>
        <v>477480.41233588377</v>
      </c>
      <c r="L8" s="702">
        <f>' FOCO INCREMENTO'!L11+' FOCO ESTIMACION'!L11</f>
        <v>465124.6389111054</v>
      </c>
      <c r="M8" s="702">
        <f>' FOCO INCREMENTO'!M11+' FOCO ESTIMACION'!M11</f>
        <v>472637.66870605573</v>
      </c>
      <c r="N8" s="702">
        <f>' FOCO INCREMENTO'!N11+' FOCO ESTIMACION'!N11</f>
        <v>434283.17430317326</v>
      </c>
      <c r="O8" s="703">
        <f t="shared" si="0"/>
        <v>5718010.5425188737</v>
      </c>
      <c r="P8" s="704"/>
    </row>
    <row r="9" spans="1:17" ht="12.75" customHeight="1" x14ac:dyDescent="0.2">
      <c r="A9" s="700" t="s">
        <v>289</v>
      </c>
      <c r="B9" s="712"/>
      <c r="C9" s="702">
        <f>' FOCO INCREMENTO'!C12+' FOCO ESTIMACION'!C12</f>
        <v>495784.42770370154</v>
      </c>
      <c r="D9" s="702">
        <f>' FOCO INCREMENTO'!D12+' FOCO ESTIMACION'!D12</f>
        <v>499216.59407409781</v>
      </c>
      <c r="E9" s="702">
        <f>' FOCO INCREMENTO'!E12+' FOCO ESTIMACION'!E12</f>
        <v>516438.24173897039</v>
      </c>
      <c r="F9" s="702">
        <f>' FOCO INCREMENTO'!F12+' FOCO ESTIMACION'!F12</f>
        <v>526644.89675602317</v>
      </c>
      <c r="G9" s="702">
        <f>' FOCO INCREMENTO'!G12+' FOCO ESTIMACION'!G12</f>
        <v>537384.26656664128</v>
      </c>
      <c r="H9" s="702">
        <f>' FOCO INCREMENTO'!H12+' FOCO ESTIMACION'!H12</f>
        <v>537842.39396935108</v>
      </c>
      <c r="I9" s="702">
        <f>' FOCO INCREMENTO'!I12+' FOCO ESTIMACION'!I12</f>
        <v>533634.70656488149</v>
      </c>
      <c r="J9" s="702">
        <f>' FOCO INCREMENTO'!J12+' FOCO ESTIMACION'!J12</f>
        <v>536352.64733775321</v>
      </c>
      <c r="K9" s="702">
        <f>' FOCO INCREMENTO'!K12+' FOCO ESTIMACION'!K12</f>
        <v>518075.18389640079</v>
      </c>
      <c r="L9" s="702">
        <f>' FOCO INCREMENTO'!L12+' FOCO ESTIMACION'!L12</f>
        <v>519766.61006429675</v>
      </c>
      <c r="M9" s="702">
        <f>' FOCO INCREMENTO'!M12+' FOCO ESTIMACION'!M12</f>
        <v>517436.63183014223</v>
      </c>
      <c r="N9" s="702">
        <f>' FOCO INCREMENTO'!N12+' FOCO ESTIMACION'!N12</f>
        <v>439845.47884661314</v>
      </c>
      <c r="O9" s="703">
        <f t="shared" si="0"/>
        <v>6178422.0793488724</v>
      </c>
      <c r="P9" s="704"/>
    </row>
    <row r="10" spans="1:17" ht="12.75" customHeight="1" x14ac:dyDescent="0.2">
      <c r="A10" s="700" t="s">
        <v>154</v>
      </c>
      <c r="B10" s="712"/>
      <c r="C10" s="702">
        <f>' FOCO INCREMENTO'!C13+' FOCO ESTIMACION'!C13</f>
        <v>198742.42751254898</v>
      </c>
      <c r="D10" s="702">
        <f>' FOCO INCREMENTO'!D13+' FOCO ESTIMACION'!D13</f>
        <v>200370.80165246839</v>
      </c>
      <c r="E10" s="702">
        <f>' FOCO INCREMENTO'!E13+' FOCO ESTIMACION'!E13</f>
        <v>172529.29132417578</v>
      </c>
      <c r="F10" s="702">
        <f>' FOCO INCREMENTO'!F13+' FOCO ESTIMACION'!F13</f>
        <v>199354.43170012755</v>
      </c>
      <c r="G10" s="702">
        <f>' FOCO INCREMENTO'!G13+' FOCO ESTIMACION'!G13</f>
        <v>185947.12146230042</v>
      </c>
      <c r="H10" s="702">
        <f>' FOCO INCREMENTO'!H13+' FOCO ESTIMACION'!H13</f>
        <v>202050.89665968972</v>
      </c>
      <c r="I10" s="702">
        <f>' FOCO INCREMENTO'!I13+' FOCO ESTIMACION'!I13</f>
        <v>183469.18297952466</v>
      </c>
      <c r="J10" s="702">
        <f>' FOCO INCREMENTO'!J13+' FOCO ESTIMACION'!J13</f>
        <v>189341.12043138896</v>
      </c>
      <c r="K10" s="702">
        <f>' FOCO INCREMENTO'!K13+' FOCO ESTIMACION'!K13</f>
        <v>187563.16699302883</v>
      </c>
      <c r="L10" s="702">
        <f>' FOCO INCREMENTO'!L13+' FOCO ESTIMACION'!L13</f>
        <v>169635.68033925485</v>
      </c>
      <c r="M10" s="702">
        <f>' FOCO INCREMENTO'!M13+' FOCO ESTIMACION'!M13</f>
        <v>181663.67075794237</v>
      </c>
      <c r="N10" s="702">
        <f>' FOCO INCREMENTO'!N13+' FOCO ESTIMACION'!N13</f>
        <v>197750.75778297905</v>
      </c>
      <c r="O10" s="703">
        <f t="shared" si="0"/>
        <v>2268418.5495954296</v>
      </c>
      <c r="P10" s="704"/>
    </row>
    <row r="11" spans="1:17" ht="12.75" customHeight="1" x14ac:dyDescent="0.2">
      <c r="A11" s="700" t="s">
        <v>155</v>
      </c>
      <c r="B11" s="712"/>
      <c r="C11" s="702">
        <f>' FOCO INCREMENTO'!C14+' FOCO ESTIMACION'!C14</f>
        <v>222371.49636443221</v>
      </c>
      <c r="D11" s="702">
        <f>' FOCO INCREMENTO'!D14+' FOCO ESTIMACION'!D14</f>
        <v>224071.95718349898</v>
      </c>
      <c r="E11" s="702">
        <f>' FOCO INCREMENTO'!E14+' FOCO ESTIMACION'!E14</f>
        <v>209638.67191565505</v>
      </c>
      <c r="F11" s="702">
        <f>' FOCO INCREMENTO'!F14+' FOCO ESTIMACION'!F14</f>
        <v>228714.31185895676</v>
      </c>
      <c r="G11" s="702">
        <f>' FOCO INCREMENTO'!G14+' FOCO ESTIMACION'!G14</f>
        <v>222235.66834534577</v>
      </c>
      <c r="H11" s="702">
        <f>' FOCO INCREMENTO'!H14+' FOCO ESTIMACION'!H14</f>
        <v>232593.73300999656</v>
      </c>
      <c r="I11" s="702">
        <f>' FOCO INCREMENTO'!I14+' FOCO ESTIMACION'!I14</f>
        <v>219932.20285984827</v>
      </c>
      <c r="J11" s="702">
        <f>' FOCO INCREMENTO'!J14+' FOCO ESTIMACION'!J14</f>
        <v>224201.10509026566</v>
      </c>
      <c r="K11" s="702">
        <f>' FOCO INCREMENTO'!K14+' FOCO ESTIMACION'!K14</f>
        <v>219541.81624763118</v>
      </c>
      <c r="L11" s="702">
        <f>' FOCO INCREMENTO'!L14+' FOCO ESTIMACION'!L14</f>
        <v>208435.35151326659</v>
      </c>
      <c r="M11" s="702">
        <f>' FOCO INCREMENTO'!M14+' FOCO ESTIMACION'!M14</f>
        <v>215656.42256975552</v>
      </c>
      <c r="N11" s="702">
        <f>' FOCO INCREMENTO'!N14+' FOCO ESTIMACION'!N14</f>
        <v>210949.29260480555</v>
      </c>
      <c r="O11" s="703">
        <f t="shared" si="0"/>
        <v>2638342.0295634577</v>
      </c>
      <c r="P11" s="704"/>
    </row>
    <row r="12" spans="1:17" ht="12.75" customHeight="1" x14ac:dyDescent="0.2">
      <c r="A12" s="700" t="s">
        <v>156</v>
      </c>
      <c r="B12" s="712"/>
      <c r="C12" s="702">
        <f>' FOCO INCREMENTO'!C15+' FOCO ESTIMACION'!C15</f>
        <v>202946.21048486899</v>
      </c>
      <c r="D12" s="702">
        <f>' FOCO INCREMENTO'!D15+' FOCO ESTIMACION'!D15</f>
        <v>204536.57748429695</v>
      </c>
      <c r="E12" s="702">
        <f>' FOCO INCREMENTO'!E15+' FOCO ESTIMACION'!E15</f>
        <v>186074.05675057671</v>
      </c>
      <c r="F12" s="702">
        <f>' FOCO INCREMENTO'!F15+' FOCO ESTIMACION'!F15</f>
        <v>206944.62030849885</v>
      </c>
      <c r="G12" s="702">
        <f>' FOCO INCREMENTO'!G15+' FOCO ESTIMACION'!G15</f>
        <v>198335.15322998998</v>
      </c>
      <c r="H12" s="702">
        <f>' FOCO INCREMENTO'!H15+' FOCO ESTIMACION'!H15</f>
        <v>210212.28316799866</v>
      </c>
      <c r="I12" s="702">
        <f>' FOCO INCREMENTO'!I15+' FOCO ESTIMACION'!I15</f>
        <v>196084.47945937552</v>
      </c>
      <c r="J12" s="702">
        <f>' FOCO INCREMENTO'!J15+' FOCO ESTIMACION'!J15</f>
        <v>200708.6100901358</v>
      </c>
      <c r="K12" s="702">
        <f>' FOCO INCREMENTO'!K15+' FOCO ESTIMACION'!K15</f>
        <v>197301.16338629025</v>
      </c>
      <c r="L12" s="702">
        <f>' FOCO INCREMENTO'!L15+' FOCO ESTIMACION'!L15</f>
        <v>184332.14972644288</v>
      </c>
      <c r="M12" s="702">
        <f>' FOCO INCREMENTO'!M15+' FOCO ESTIMACION'!M15</f>
        <v>192895.9325505317</v>
      </c>
      <c r="N12" s="702">
        <f>' FOCO INCREMENTO'!N15+' FOCO ESTIMACION'!N15</f>
        <v>195784.93325843912</v>
      </c>
      <c r="O12" s="703">
        <f t="shared" si="0"/>
        <v>2376156.1698974455</v>
      </c>
      <c r="P12" s="704"/>
    </row>
    <row r="13" spans="1:17" ht="12.75" customHeight="1" x14ac:dyDescent="0.2">
      <c r="A13" s="700" t="s">
        <v>157</v>
      </c>
      <c r="B13" s="712"/>
      <c r="C13" s="702">
        <f>' FOCO INCREMENTO'!C16+' FOCO ESTIMACION'!C16</f>
        <v>211173.39319915246</v>
      </c>
      <c r="D13" s="702">
        <f>' FOCO INCREMENTO'!D16+' FOCO ESTIMACION'!D16</f>
        <v>212851.63404335736</v>
      </c>
      <c r="E13" s="702">
        <f>' FOCO INCREMENTO'!E16+' FOCO ESTIMACION'!E16</f>
        <v>190420.91243974486</v>
      </c>
      <c r="F13" s="702">
        <f>' FOCO INCREMENTO'!F16+' FOCO ESTIMACION'!F16</f>
        <v>214244.22347089899</v>
      </c>
      <c r="G13" s="702">
        <f>' FOCO INCREMENTO'!G16+' FOCO ESTIMACION'!G16</f>
        <v>203644.37281966404</v>
      </c>
      <c r="H13" s="702">
        <f>' FOCO INCREMENTO'!H16+' FOCO ESTIMACION'!H16</f>
        <v>217478.27232058064</v>
      </c>
      <c r="I13" s="702">
        <f>' FOCO INCREMENTO'!I16+' FOCO ESTIMACION'!I16</f>
        <v>201212.12012910549</v>
      </c>
      <c r="J13" s="702">
        <f>' FOCO INCREMENTO'!J16+' FOCO ESTIMACION'!J16</f>
        <v>206466.88343932666</v>
      </c>
      <c r="K13" s="702">
        <f>' FOCO INCREMENTO'!K16+' FOCO ESTIMACION'!K16</f>
        <v>203435.50232384904</v>
      </c>
      <c r="L13" s="702">
        <f>' FOCO INCREMENTO'!L16+' FOCO ESTIMACION'!L16</f>
        <v>188216.60578401005</v>
      </c>
      <c r="M13" s="702">
        <f>' FOCO INCREMENTO'!M16+' FOCO ESTIMACION'!M16</f>
        <v>198328.71523021645</v>
      </c>
      <c r="N13" s="702">
        <f>' FOCO INCREMENTO'!N16+' FOCO ESTIMACION'!N16</f>
        <v>205707.89194817905</v>
      </c>
      <c r="O13" s="703">
        <f t="shared" si="0"/>
        <v>2453180.5271480847</v>
      </c>
      <c r="P13" s="704"/>
    </row>
    <row r="14" spans="1:17" ht="12.75" customHeight="1" x14ac:dyDescent="0.2">
      <c r="A14" s="700" t="s">
        <v>158</v>
      </c>
      <c r="B14" s="712"/>
      <c r="C14" s="702">
        <f>' FOCO INCREMENTO'!C17+' FOCO ESTIMACION'!C17</f>
        <v>362749.75476246886</v>
      </c>
      <c r="D14" s="702">
        <f>' FOCO INCREMENTO'!D17+' FOCO ESTIMACION'!D17</f>
        <v>365328.42657435418</v>
      </c>
      <c r="E14" s="702">
        <f>' FOCO INCREMENTO'!E17+' FOCO ESTIMACION'!E17</f>
        <v>368647.04557774641</v>
      </c>
      <c r="F14" s="702">
        <f>' FOCO INCREMENTO'!F17+' FOCO ESTIMACION'!F17</f>
        <v>382188.07818719157</v>
      </c>
      <c r="G14" s="702">
        <f>' FOCO INCREMENTO'!G17+' FOCO ESTIMACION'!G17</f>
        <v>385313.9982969485</v>
      </c>
      <c r="H14" s="702">
        <f>' FOCO INCREMENTO'!H17+' FOCO ESTIMACION'!H17</f>
        <v>389902.15348591068</v>
      </c>
      <c r="I14" s="702">
        <f>' FOCO INCREMENTO'!I17+' FOCO ESTIMACION'!I17</f>
        <v>382310.13323772058</v>
      </c>
      <c r="J14" s="702">
        <f>' FOCO INCREMENTO'!J17+' FOCO ESTIMACION'!J17</f>
        <v>385576.35417967639</v>
      </c>
      <c r="K14" s="702">
        <f>' FOCO INCREMENTO'!K17+' FOCO ESTIMACION'!K17</f>
        <v>373685.64819216164</v>
      </c>
      <c r="L14" s="702">
        <f>' FOCO INCREMENTO'!L17+' FOCO ESTIMACION'!L17</f>
        <v>369952.86852338718</v>
      </c>
      <c r="M14" s="702">
        <f>' FOCO INCREMENTO'!M17+' FOCO ESTIMACION'!M17</f>
        <v>371710.8096164937</v>
      </c>
      <c r="N14" s="702">
        <f>' FOCO INCREMENTO'!N17+' FOCO ESTIMACION'!N17</f>
        <v>327546.49027063942</v>
      </c>
      <c r="O14" s="703">
        <f t="shared" si="0"/>
        <v>4464911.7609046986</v>
      </c>
      <c r="P14" s="704"/>
    </row>
    <row r="15" spans="1:17" ht="12.75" customHeight="1" x14ac:dyDescent="0.2">
      <c r="A15" s="700" t="s">
        <v>159</v>
      </c>
      <c r="B15" s="712"/>
      <c r="C15" s="702">
        <f>' FOCO INCREMENTO'!C18+' FOCO ESTIMACION'!C18</f>
        <v>216262.67584227401</v>
      </c>
      <c r="D15" s="702">
        <f>' FOCO INCREMENTO'!D18+' FOCO ESTIMACION'!D18</f>
        <v>217921.10448853194</v>
      </c>
      <c r="E15" s="702">
        <f>' FOCO INCREMENTO'!E18+' FOCO ESTIMACION'!E18</f>
        <v>203240.21502094792</v>
      </c>
      <c r="F15" s="702">
        <f>' FOCO INCREMENTO'!F18+' FOCO ESTIMACION'!F18</f>
        <v>222213.26031237282</v>
      </c>
      <c r="G15" s="702">
        <f>' FOCO INCREMENTO'!G18+' FOCO ESTIMACION'!G18</f>
        <v>215584.24147516565</v>
      </c>
      <c r="H15" s="702">
        <f>' FOCO INCREMENTO'!H18+' FOCO ESTIMACION'!H18</f>
        <v>225952.88484358616</v>
      </c>
      <c r="I15" s="702">
        <f>' FOCO INCREMENTO'!I18+' FOCO ESTIMACION'!I18</f>
        <v>213325.9828376252</v>
      </c>
      <c r="J15" s="702">
        <f>' FOCO INCREMENTO'!J18+' FOCO ESTIMACION'!J18</f>
        <v>217566.2694451104</v>
      </c>
      <c r="K15" s="702">
        <f>' FOCO INCREMENTO'!K18+' FOCO ESTIMACION'!K18</f>
        <v>213137.8414201191</v>
      </c>
      <c r="L15" s="702">
        <f>' FOCO INCREMENTO'!L18+' FOCO ESTIMACION'!L18</f>
        <v>201991.57563331269</v>
      </c>
      <c r="M15" s="702">
        <f>' FOCO INCREMENTO'!M18+' FOCO ESTIMACION'!M18</f>
        <v>209254.56460088139</v>
      </c>
      <c r="N15" s="702">
        <f>' FOCO INCREMENTO'!N18+' FOCO ESTIMACION'!N18</f>
        <v>205551.56600233438</v>
      </c>
      <c r="O15" s="703">
        <f t="shared" si="0"/>
        <v>2562002.1819222616</v>
      </c>
      <c r="P15" s="704"/>
    </row>
    <row r="16" spans="1:17" ht="12.75" customHeight="1" x14ac:dyDescent="0.2">
      <c r="A16" s="700" t="s">
        <v>160</v>
      </c>
      <c r="B16" s="712"/>
      <c r="C16" s="702">
        <f>' FOCO INCREMENTO'!C19+' FOCO ESTIMACION'!C19</f>
        <v>274192.05874801276</v>
      </c>
      <c r="D16" s="702">
        <f>' FOCO INCREMENTO'!D19+' FOCO ESTIMACION'!D19</f>
        <v>276261.2937308129</v>
      </c>
      <c r="E16" s="702">
        <f>' FOCO INCREMENTO'!E19+' FOCO ESTIMACION'!E19</f>
        <v>262247.27858993516</v>
      </c>
      <c r="F16" s="702">
        <f>' FOCO INCREMENTO'!F19+' FOCO ESTIMACION'!F19</f>
        <v>283293.1833161026</v>
      </c>
      <c r="G16" s="702">
        <f>' FOCO INCREMENTO'!G19+' FOCO ESTIMACION'!G19</f>
        <v>277233.15124686155</v>
      </c>
      <c r="H16" s="702">
        <f>' FOCO INCREMENTO'!H19+' FOCO ESTIMACION'!H19</f>
        <v>288271.77031055721</v>
      </c>
      <c r="I16" s="702">
        <f>' FOCO INCREMENTO'!I19+' FOCO ESTIMACION'!I19</f>
        <v>274499.03119227302</v>
      </c>
      <c r="J16" s="702">
        <f>' FOCO INCREMENTO'!J19+' FOCO ESTIMACION'!J19</f>
        <v>279242.07323486469</v>
      </c>
      <c r="K16" s="702">
        <f>' FOCO INCREMENTO'!K19+' FOCO ESTIMACION'!K19</f>
        <v>272892.89269835327</v>
      </c>
      <c r="L16" s="702">
        <f>' FOCO INCREMENTO'!L19+' FOCO ESTIMACION'!L19</f>
        <v>261223.83187463079</v>
      </c>
      <c r="M16" s="702">
        <f>' FOCO INCREMENTO'!M19+' FOCO ESTIMACION'!M19</f>
        <v>268716.48103113833</v>
      </c>
      <c r="N16" s="702">
        <f>' FOCO INCREMENTO'!N19+' FOCO ESTIMACION'!N19</f>
        <v>257774.70750365214</v>
      </c>
      <c r="O16" s="703">
        <f t="shared" si="0"/>
        <v>3275847.7534771943</v>
      </c>
      <c r="P16" s="704"/>
    </row>
    <row r="17" spans="1:16" ht="12.75" customHeight="1" x14ac:dyDescent="0.2">
      <c r="A17" s="700" t="s">
        <v>290</v>
      </c>
      <c r="B17" s="712"/>
      <c r="C17" s="702">
        <f>' FOCO INCREMENTO'!C20+' FOCO ESTIMACION'!C20</f>
        <v>168369.18253523775</v>
      </c>
      <c r="D17" s="702">
        <f>' FOCO INCREMENTO'!D20+' FOCO ESTIMACION'!D20</f>
        <v>169994.51604787685</v>
      </c>
      <c r="E17" s="702">
        <f>' FOCO INCREMENTO'!E20+' FOCO ESTIMACION'!E20</f>
        <v>112587.56716776869</v>
      </c>
      <c r="F17" s="702">
        <f>' FOCO INCREMENTO'!F20+' FOCO ESTIMACION'!F20</f>
        <v>157441.73275838856</v>
      </c>
      <c r="G17" s="702">
        <f>' FOCO INCREMENTO'!G20+' FOCO ESTIMACION'!G20</f>
        <v>128842.46466456076</v>
      </c>
      <c r="H17" s="702">
        <f>' FOCO INCREMENTO'!H20+' FOCO ESTIMACION'!H20</f>
        <v>157981.58605880657</v>
      </c>
      <c r="I17" s="702">
        <f>' FOCO INCREMENTO'!I20+' FOCO ESTIMACION'!I20</f>
        <v>125794.29452279361</v>
      </c>
      <c r="J17" s="702">
        <f>' FOCO INCREMENTO'!J20+' FOCO ESTIMACION'!J20</f>
        <v>135423.97571846531</v>
      </c>
      <c r="K17" s="702">
        <f>' FOCO INCREMENTO'!K20+' FOCO ESTIMACION'!K20</f>
        <v>139318.90368970699</v>
      </c>
      <c r="L17" s="702">
        <f>' FOCO INCREMENTO'!L20+' FOCO ESTIMACION'!L20</f>
        <v>106020.8592911384</v>
      </c>
      <c r="M17" s="702">
        <f>' FOCO INCREMENTO'!M20+' FOCO ESTIMACION'!M20</f>
        <v>128827.68037865395</v>
      </c>
      <c r="N17" s="702">
        <f>' FOCO INCREMENTO'!N20+' FOCO ESTIMACION'!N20</f>
        <v>188390.95779910067</v>
      </c>
      <c r="O17" s="703">
        <f t="shared" si="0"/>
        <v>1718993.7206324982</v>
      </c>
      <c r="P17" s="704"/>
    </row>
    <row r="18" spans="1:16" ht="12.75" customHeight="1" x14ac:dyDescent="0.2">
      <c r="A18" s="700" t="s">
        <v>291</v>
      </c>
      <c r="B18" s="712"/>
      <c r="C18" s="702">
        <f>' FOCO INCREMENTO'!C21+' FOCO ESTIMACION'!C21</f>
        <v>198394.74342085869</v>
      </c>
      <c r="D18" s="702">
        <f>' FOCO INCREMENTO'!D21+' FOCO ESTIMACION'!D21</f>
        <v>199943.37561179919</v>
      </c>
      <c r="E18" s="702">
        <f>' FOCO INCREMENTO'!E21+' FOCO ESTIMACION'!E21</f>
        <v>182729.72243924619</v>
      </c>
      <c r="F18" s="702">
        <f>' FOCO INCREMENTO'!F21+' FOCO ESTIMACION'!F21</f>
        <v>202586.00785245071</v>
      </c>
      <c r="G18" s="702">
        <f>' FOCO INCREMENTO'!G21+' FOCO ESTIMACION'!G21</f>
        <v>194595.19422602394</v>
      </c>
      <c r="H18" s="702">
        <f>' FOCO INCREMENTO'!H21+' FOCO ESTIMACION'!H21</f>
        <v>205823.44798842364</v>
      </c>
      <c r="I18" s="702">
        <f>' FOCO INCREMENTO'!I21+' FOCO ESTIMACION'!I21</f>
        <v>192418.41920854413</v>
      </c>
      <c r="J18" s="702">
        <f>' FOCO INCREMENTO'!J21+' FOCO ESTIMACION'!J21</f>
        <v>196823.93905012784</v>
      </c>
      <c r="K18" s="702">
        <f>' FOCO INCREMENTO'!K21+' FOCO ESTIMACION'!K21</f>
        <v>193359.59081034412</v>
      </c>
      <c r="L18" s="702">
        <f>' FOCO INCREMENTO'!L21+' FOCO ESTIMACION'!L21</f>
        <v>181128.46206910201</v>
      </c>
      <c r="M18" s="702">
        <f>' FOCO INCREMENTO'!M21+' FOCO ESTIMACION'!M21</f>
        <v>189188.75119316691</v>
      </c>
      <c r="N18" s="702">
        <f>' FOCO INCREMENTO'!N21+' FOCO ESTIMACION'!N21</f>
        <v>190879.12494086992</v>
      </c>
      <c r="O18" s="703">
        <f t="shared" si="0"/>
        <v>2327870.778810957</v>
      </c>
      <c r="P18" s="704"/>
    </row>
    <row r="19" spans="1:16" ht="12.75" customHeight="1" x14ac:dyDescent="0.2">
      <c r="A19" s="700" t="s">
        <v>292</v>
      </c>
      <c r="B19" s="712"/>
      <c r="C19" s="702">
        <f>' FOCO INCREMENTO'!C22+' FOCO ESTIMACION'!C22</f>
        <v>637279.876508596</v>
      </c>
      <c r="D19" s="702">
        <f>' FOCO INCREMENTO'!D22+' FOCO ESTIMACION'!D22</f>
        <v>641889.33767879708</v>
      </c>
      <c r="E19" s="702">
        <f>' FOCO INCREMENTO'!E22+' FOCO ESTIMACION'!E22</f>
        <v>636817.10813882633</v>
      </c>
      <c r="F19" s="702">
        <f>' FOCO INCREMENTO'!F22+' FOCO ESTIMACION'!F22</f>
        <v>667739.45692027162</v>
      </c>
      <c r="G19" s="702">
        <f>' FOCO INCREMENTO'!G22+' FOCO ESTIMACION'!G22</f>
        <v>667673.26053620619</v>
      </c>
      <c r="H19" s="702">
        <f>' FOCO INCREMENTO'!H22+' FOCO ESTIMACION'!H22</f>
        <v>680729.20225750108</v>
      </c>
      <c r="I19" s="702">
        <f>' FOCO INCREMENTO'!I22+' FOCO ESTIMACION'!I22</f>
        <v>662090.16332464595</v>
      </c>
      <c r="J19" s="702">
        <f>' FOCO INCREMENTO'!J22+' FOCO ESTIMACION'!J22</f>
        <v>669328.90691099211</v>
      </c>
      <c r="K19" s="702">
        <f>' FOCO INCREMENTO'!K22+' FOCO ESTIMACION'!K22</f>
        <v>650180.40522796602</v>
      </c>
      <c r="L19" s="702">
        <f>' FOCO INCREMENTO'!L22+' FOCO ESTIMACION'!L22</f>
        <v>637784.56116318586</v>
      </c>
      <c r="M19" s="702">
        <f>' FOCO INCREMENTO'!M22+' FOCO ESTIMACION'!M22</f>
        <v>644940.16426424088</v>
      </c>
      <c r="N19" s="702">
        <f>' FOCO INCREMENTO'!N22+' FOCO ESTIMACION'!N22</f>
        <v>582159.74549378653</v>
      </c>
      <c r="O19" s="703">
        <f t="shared" si="0"/>
        <v>7778612.1884250157</v>
      </c>
      <c r="P19" s="704"/>
    </row>
    <row r="20" spans="1:16" ht="12.75" customHeight="1" x14ac:dyDescent="0.2">
      <c r="A20" s="700" t="s">
        <v>164</v>
      </c>
      <c r="B20" s="712"/>
      <c r="C20" s="702">
        <f>' FOCO INCREMENTO'!C23+' FOCO ESTIMACION'!C23</f>
        <v>337879.70151730324</v>
      </c>
      <c r="D20" s="702">
        <f>' FOCO INCREMENTO'!D23+' FOCO ESTIMACION'!D23</f>
        <v>340324.81281794817</v>
      </c>
      <c r="E20" s="702">
        <f>' FOCO INCREMENTO'!E23+' FOCO ESTIMACION'!E23</f>
        <v>337467.84817407792</v>
      </c>
      <c r="F20" s="702">
        <f>' FOCO INCREMENTO'!F23+' FOCO ESTIMACION'!F23</f>
        <v>353972.31909494393</v>
      </c>
      <c r="G20" s="702">
        <f>' FOCO INCREMENTO'!G23+' FOCO ESTIMACION'!G23</f>
        <v>353851.72359519941</v>
      </c>
      <c r="H20" s="702">
        <f>' FOCO INCREMENTO'!H23+' FOCO ESTIMACION'!H23</f>
        <v>360850.70680220856</v>
      </c>
      <c r="I20" s="702">
        <f>' FOCO INCREMENTO'!I23+' FOCO ESTIMACION'!I23</f>
        <v>350886.91301523236</v>
      </c>
      <c r="J20" s="702">
        <f>' FOCO INCREMENTO'!J23+' FOCO ESTIMACION'!J23</f>
        <v>354747.91075814457</v>
      </c>
      <c r="K20" s="702">
        <f>' FOCO INCREMENTO'!K23+' FOCO ESTIMACION'!K23</f>
        <v>344622.34276456496</v>
      </c>
      <c r="L20" s="702">
        <f>' FOCO INCREMENTO'!L23+' FOCO ESTIMACION'!L23</f>
        <v>337960.37444248161</v>
      </c>
      <c r="M20" s="702">
        <f>' FOCO INCREMENTO'!M23+' FOCO ESTIMACION'!M23</f>
        <v>341816.77536440716</v>
      </c>
      <c r="N20" s="702">
        <f>' FOCO INCREMENTO'!N23+' FOCO ESTIMACION'!N23</f>
        <v>308758.98990534758</v>
      </c>
      <c r="O20" s="703">
        <f t="shared" si="0"/>
        <v>4123140.4182518595</v>
      </c>
      <c r="P20" s="704"/>
    </row>
    <row r="21" spans="1:16" ht="12.75" customHeight="1" x14ac:dyDescent="0.2">
      <c r="A21" s="700" t="s">
        <v>165</v>
      </c>
      <c r="B21" s="712"/>
      <c r="C21" s="702">
        <f>' FOCO INCREMENTO'!C24+' FOCO ESTIMACION'!C24</f>
        <v>2236911.5451440504</v>
      </c>
      <c r="D21" s="702">
        <f>' FOCO INCREMENTO'!D24+' FOCO ESTIMACION'!D24</f>
        <v>2253409.3547156453</v>
      </c>
      <c r="E21" s="702">
        <f>' FOCO INCREMENTO'!E24+' FOCO ESTIMACION'!E24</f>
        <v>2191830.4002508712</v>
      </c>
      <c r="F21" s="702">
        <f>' FOCO INCREMENTO'!F24+' FOCO ESTIMACION'!F24</f>
        <v>2329012.6221805741</v>
      </c>
      <c r="G21" s="702">
        <f>' FOCO INCREMENTO'!G24+' FOCO ESTIMACION'!G24</f>
        <v>2306464.6597708012</v>
      </c>
      <c r="H21" s="702">
        <f>' FOCO INCREMENTO'!H24+' FOCO ESTIMACION'!H24</f>
        <v>2372349.8401521686</v>
      </c>
      <c r="I21" s="702">
        <f>' FOCO INCREMENTO'!I24+' FOCO ESTIMACION'!I24</f>
        <v>2285639.2377193514</v>
      </c>
      <c r="J21" s="702">
        <f>' FOCO INCREMENTO'!J24+' FOCO ESTIMACION'!J24</f>
        <v>2317073.2126520276</v>
      </c>
      <c r="K21" s="702">
        <f>' FOCO INCREMENTO'!K24+' FOCO ESTIMACION'!K24</f>
        <v>2256851.1157179568</v>
      </c>
      <c r="L21" s="702">
        <f>' FOCO INCREMENTO'!L24+' FOCO ESTIMACION'!L24</f>
        <v>2189899.6412557503</v>
      </c>
      <c r="M21" s="702">
        <f>' FOCO INCREMENTO'!M24+' FOCO ESTIMACION'!M24</f>
        <v>2231347.1639124178</v>
      </c>
      <c r="N21" s="702">
        <f>' FOCO INCREMENTO'!N24+' FOCO ESTIMACION'!N24</f>
        <v>2070437.0785207015</v>
      </c>
      <c r="O21" s="703">
        <f t="shared" si="0"/>
        <v>27041225.871992316</v>
      </c>
      <c r="P21" s="704"/>
    </row>
    <row r="22" spans="1:16" ht="12.75" customHeight="1" x14ac:dyDescent="0.2">
      <c r="A22" s="700" t="s">
        <v>166</v>
      </c>
      <c r="B22" s="712"/>
      <c r="C22" s="702">
        <f>' FOCO INCREMENTO'!C25+' FOCO ESTIMACION'!C25</f>
        <v>226321.55528975671</v>
      </c>
      <c r="D22" s="702">
        <f>' FOCO INCREMENTO'!D25+' FOCO ESTIMACION'!D25</f>
        <v>228048.68741470721</v>
      </c>
      <c r="E22" s="702">
        <f>' FOCO INCREMENTO'!E25+' FOCO ESTIMACION'!E25</f>
        <v>213845.30993281701</v>
      </c>
      <c r="F22" s="702">
        <f>' FOCO INCREMENTO'!F25+' FOCO ESTIMACION'!F25</f>
        <v>232941.61713395658</v>
      </c>
      <c r="G22" s="702">
        <f>' FOCO INCREMENTO'!G25+' FOCO ESTIMACION'!G25</f>
        <v>226595.79286355968</v>
      </c>
      <c r="H22" s="702">
        <f>' FOCO INCREMENTO'!H25+' FOCO ESTIMACION'!H25</f>
        <v>236915.03353808116</v>
      </c>
      <c r="I22" s="702">
        <f>' FOCO INCREMENTO'!I25+' FOCO ESTIMACION'!I25</f>
        <v>224265.05444790859</v>
      </c>
      <c r="J22" s="702">
        <f>' FOCO INCREMENTO'!J25+' FOCO ESTIMACION'!J25</f>
        <v>228542.85209447177</v>
      </c>
      <c r="K22" s="702">
        <f>' FOCO INCREMENTO'!K25+' FOCO ESTIMACION'!K25</f>
        <v>223723.1373924184</v>
      </c>
      <c r="L22" s="702">
        <f>' FOCO INCREMENTO'!L25+' FOCO ESTIMACION'!L25</f>
        <v>212679.78724376185</v>
      </c>
      <c r="M22" s="702">
        <f>' FOCO INCREMENTO'!M25+' FOCO ESTIMACION'!M25</f>
        <v>219847.71279347118</v>
      </c>
      <c r="N22" s="702">
        <f>' FOCO INCREMENTO'!N25+' FOCO ESTIMACION'!N25</f>
        <v>214396.48950518662</v>
      </c>
      <c r="O22" s="703">
        <f t="shared" si="0"/>
        <v>2688123.0296500972</v>
      </c>
      <c r="P22" s="704"/>
    </row>
    <row r="23" spans="1:16" ht="12.75" customHeight="1" thickBot="1" x14ac:dyDescent="0.25">
      <c r="A23" s="700" t="s">
        <v>167</v>
      </c>
      <c r="B23" s="713"/>
      <c r="C23" s="702">
        <f>' FOCO INCREMENTO'!C26+' FOCO ESTIMACION'!C26</f>
        <v>316677.92014081427</v>
      </c>
      <c r="D23" s="702">
        <f>' FOCO INCREMENTO'!D26+' FOCO ESTIMACION'!D26</f>
        <v>319074.88842420722</v>
      </c>
      <c r="E23" s="702">
        <f>' FOCO INCREMENTO'!E26+' FOCO ESTIMACION'!E26</f>
        <v>301911.63684907235</v>
      </c>
      <c r="F23" s="702">
        <f>' FOCO INCREMENTO'!F26+' FOCO ESTIMACION'!F26</f>
        <v>326858.34634578915</v>
      </c>
      <c r="G23" s="702">
        <f>' FOCO INCREMENTO'!G26+' FOCO ESTIMACION'!G26</f>
        <v>319360.86638977705</v>
      </c>
      <c r="H23" s="702">
        <f>' FOCO INCREMENTO'!H26+' FOCO ESTIMACION'!H26</f>
        <v>332557.92633437424</v>
      </c>
      <c r="I23" s="702">
        <f>' FOCO INCREMENTO'!I26+' FOCO ESTIMACION'!I26</f>
        <v>316175.66211982671</v>
      </c>
      <c r="J23" s="702">
        <f>' FOCO INCREMENTO'!J26+' FOCO ESTIMACION'!J26</f>
        <v>321788.21888827981</v>
      </c>
      <c r="K23" s="702">
        <f>' FOCO INCREMENTO'!K26+' FOCO ESTIMACION'!K26</f>
        <v>314611.38943959837</v>
      </c>
      <c r="L23" s="702">
        <f>' FOCO INCREMENTO'!L26+' FOCO ESTIMACION'!L26</f>
        <v>300610.63054300647</v>
      </c>
      <c r="M23" s="702">
        <f>' FOCO INCREMENTO'!M26+' FOCO ESTIMACION'!M26</f>
        <v>309629.02910593851</v>
      </c>
      <c r="N23" s="702">
        <f>' FOCO INCREMENTO'!N26+' FOCO ESTIMACION'!N26</f>
        <v>298319.84658681002</v>
      </c>
      <c r="O23" s="703">
        <f t="shared" si="0"/>
        <v>3777576.3611674942</v>
      </c>
      <c r="P23" s="704"/>
    </row>
    <row r="24" spans="1:16" ht="13.5" thickBot="1" x14ac:dyDescent="0.25">
      <c r="A24" s="705" t="s">
        <v>293</v>
      </c>
      <c r="B24" s="706">
        <f>SUM(B4:B23)</f>
        <v>0</v>
      </c>
      <c r="C24" s="707">
        <f>SUM(C4:C23)</f>
        <v>8049883.0500000007</v>
      </c>
      <c r="D24" s="707">
        <f t="shared" ref="D24:N24" si="1">SUM(D4:D23)</f>
        <v>8110499.4000000013</v>
      </c>
      <c r="E24" s="707">
        <f t="shared" si="1"/>
        <v>7717421.9249999998</v>
      </c>
      <c r="F24" s="707">
        <f t="shared" si="1"/>
        <v>8323290.4500000002</v>
      </c>
      <c r="G24" s="707">
        <f t="shared" si="1"/>
        <v>8154733.0499999989</v>
      </c>
      <c r="H24" s="707">
        <f t="shared" si="1"/>
        <v>8470401.3000000007</v>
      </c>
      <c r="I24" s="707">
        <f t="shared" si="1"/>
        <v>8074978.1999999993</v>
      </c>
      <c r="J24" s="707">
        <f t="shared" si="1"/>
        <v>8211700.7999999989</v>
      </c>
      <c r="K24" s="707">
        <f t="shared" si="1"/>
        <v>8022366.9000000013</v>
      </c>
      <c r="L24" s="707">
        <f t="shared" si="1"/>
        <v>7689608.3250000011</v>
      </c>
      <c r="M24" s="707">
        <f t="shared" si="1"/>
        <v>7902734.6250000019</v>
      </c>
      <c r="N24" s="707">
        <f t="shared" si="1"/>
        <v>7556571.8999999994</v>
      </c>
      <c r="O24" s="707">
        <f>SUM(C24:N24)</f>
        <v>96284189.925000012</v>
      </c>
    </row>
    <row r="25" spans="1:16" x14ac:dyDescent="0.2">
      <c r="A25" s="708"/>
      <c r="B25" s="708"/>
      <c r="C25" s="708"/>
      <c r="D25" s="708"/>
      <c r="E25" s="708"/>
      <c r="F25" s="708"/>
      <c r="G25" s="708"/>
      <c r="H25" s="708"/>
      <c r="I25" s="708"/>
      <c r="J25" s="708"/>
      <c r="K25" s="708"/>
      <c r="L25" s="708"/>
      <c r="M25" s="708"/>
      <c r="N25" s="708"/>
      <c r="O25" s="708"/>
    </row>
    <row r="26" spans="1:16" x14ac:dyDescent="0.2">
      <c r="A26" s="709" t="s">
        <v>294</v>
      </c>
      <c r="O26" s="704"/>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7" tint="0.59999389629810485"/>
  </sheetPr>
  <dimension ref="A1:O36"/>
  <sheetViews>
    <sheetView topLeftCell="A2" workbookViewId="0">
      <selection activeCell="C7" sqref="C7"/>
    </sheetView>
  </sheetViews>
  <sheetFormatPr baseColWidth="10" defaultRowHeight="12.75" x14ac:dyDescent="0.2"/>
  <cols>
    <col min="1" max="1" width="16.85546875" style="695" customWidth="1"/>
    <col min="2" max="2" width="9.28515625" style="695" hidden="1" customWidth="1"/>
    <col min="3" max="10" width="7.85546875" style="695" customWidth="1"/>
    <col min="11" max="11" width="9.5703125" style="695" customWidth="1"/>
    <col min="12" max="12" width="7.85546875" style="695" customWidth="1"/>
    <col min="13" max="13" width="9.42578125" style="695" customWidth="1"/>
    <col min="14" max="14" width="9.28515625" style="695" customWidth="1"/>
    <col min="15" max="15" width="11.425781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58" t="s">
        <v>430</v>
      </c>
      <c r="B2" s="958"/>
      <c r="C2" s="958"/>
      <c r="D2" s="958"/>
      <c r="E2" s="958"/>
      <c r="F2" s="958"/>
      <c r="G2" s="958"/>
      <c r="H2" s="958"/>
      <c r="I2" s="958"/>
      <c r="J2" s="958"/>
      <c r="K2" s="958"/>
      <c r="L2" s="958"/>
      <c r="M2" s="958"/>
      <c r="N2" s="958"/>
      <c r="O2" s="958"/>
    </row>
    <row r="3" spans="1:15" ht="13.5" thickBot="1" x14ac:dyDescent="0.25"/>
    <row r="4" spans="1:15" ht="23.25" thickBot="1" x14ac:dyDescent="0.25">
      <c r="A4" s="696" t="s">
        <v>407</v>
      </c>
      <c r="B4" s="697" t="s">
        <v>286</v>
      </c>
      <c r="C4" s="696" t="s">
        <v>1</v>
      </c>
      <c r="D4" s="698" t="s">
        <v>2</v>
      </c>
      <c r="E4" s="696" t="s">
        <v>3</v>
      </c>
      <c r="F4" s="698" t="s">
        <v>4</v>
      </c>
      <c r="G4" s="696" t="s">
        <v>5</v>
      </c>
      <c r="H4" s="696" t="s">
        <v>6</v>
      </c>
      <c r="I4" s="696" t="s">
        <v>7</v>
      </c>
      <c r="J4" s="698" t="s">
        <v>8</v>
      </c>
      <c r="K4" s="696" t="s">
        <v>9</v>
      </c>
      <c r="L4" s="698" t="s">
        <v>10</v>
      </c>
      <c r="M4" s="696" t="s">
        <v>11</v>
      </c>
      <c r="N4" s="696" t="s">
        <v>12</v>
      </c>
      <c r="O4" s="699" t="s">
        <v>170</v>
      </c>
    </row>
    <row r="5" spans="1:15" ht="12.75" customHeight="1" x14ac:dyDescent="0.2">
      <c r="A5" s="700" t="s">
        <v>287</v>
      </c>
      <c r="B5" s="711"/>
      <c r="C5" s="702">
        <f>'IEPS INCREMENTO'!C7+'IEPS ESTIMACIONES'!C7</f>
        <v>115964.5500653396</v>
      </c>
      <c r="D5" s="702">
        <f>'IEPS INCREMENTO'!D7+'IEPS ESTIMACIONES'!D7</f>
        <v>160814.92915440333</v>
      </c>
      <c r="E5" s="702">
        <f>'IEPS INCREMENTO'!E7+'IEPS ESTIMACIONES'!E7</f>
        <v>169493.86621499766</v>
      </c>
      <c r="F5" s="702">
        <f>'IEPS INCREMENTO'!F7+'IEPS ESTIMACIONES'!F7</f>
        <v>98005.4138988083</v>
      </c>
      <c r="G5" s="702">
        <f>'IEPS INCREMENTO'!G7+'IEPS ESTIMACIONES'!G7</f>
        <v>121347.24792074499</v>
      </c>
      <c r="H5" s="702">
        <f>'IEPS INCREMENTO'!H7+'IEPS ESTIMACIONES'!H7</f>
        <v>128311.81578480646</v>
      </c>
      <c r="I5" s="702">
        <f>'IEPS INCREMENTO'!I7+'IEPS ESTIMACIONES'!I7</f>
        <v>132740.16509422194</v>
      </c>
      <c r="J5" s="702">
        <f>'IEPS INCREMENTO'!J7+'IEPS ESTIMACIONES'!J7</f>
        <v>137201.17358585866</v>
      </c>
      <c r="K5" s="702">
        <f>'IEPS INCREMENTO'!K7+'IEPS ESTIMACIONES'!K7</f>
        <v>176756.73715536454</v>
      </c>
      <c r="L5" s="702">
        <f>'IEPS INCREMENTO'!L7+'IEPS ESTIMACIONES'!L7</f>
        <v>110872.74152298502</v>
      </c>
      <c r="M5" s="702">
        <f>'IEPS INCREMENTO'!M7+'IEPS ESTIMACIONES'!M7</f>
        <v>111655.04536144833</v>
      </c>
      <c r="N5" s="702">
        <f>'IEPS INCREMENTO'!N7+'IEPS ESTIMACIONES'!N7</f>
        <v>127049.67799102108</v>
      </c>
      <c r="O5" s="703">
        <f>SUM(C5:N5)</f>
        <v>1590213.36375</v>
      </c>
    </row>
    <row r="6" spans="1:15" ht="12.75" customHeight="1" x14ac:dyDescent="0.2">
      <c r="A6" s="700" t="s">
        <v>149</v>
      </c>
      <c r="B6" s="712"/>
      <c r="C6" s="702">
        <f>'IEPS INCREMENTO'!C8+'IEPS ESTIMACIONES'!C8</f>
        <v>142566.81564654282</v>
      </c>
      <c r="D6" s="702">
        <f>'IEPS INCREMENTO'!D8+'IEPS ESTIMACIONES'!D8</f>
        <v>201400.79790549361</v>
      </c>
      <c r="E6" s="702">
        <f>'IEPS INCREMENTO'!E8+'IEPS ESTIMACIONES'!E8</f>
        <v>197395.66665102451</v>
      </c>
      <c r="F6" s="702">
        <f>'IEPS INCREMENTO'!F8+'IEPS ESTIMACIONES'!F8</f>
        <v>129700.10638657137</v>
      </c>
      <c r="G6" s="702">
        <f>'IEPS INCREMENTO'!G8+'IEPS ESTIMACIONES'!G8</f>
        <v>151544.15243898096</v>
      </c>
      <c r="H6" s="702">
        <f>'IEPS INCREMENTO'!H8+'IEPS ESTIMACIONES'!H8</f>
        <v>159881.34099617432</v>
      </c>
      <c r="I6" s="702">
        <f>'IEPS INCREMENTO'!I8+'IEPS ESTIMACIONES'!I8</f>
        <v>164821.81307207124</v>
      </c>
      <c r="J6" s="702">
        <f>'IEPS INCREMENTO'!J8+'IEPS ESTIMACIONES'!J8</f>
        <v>170484.26362132066</v>
      </c>
      <c r="K6" s="702">
        <f>'IEPS INCREMENTO'!K8+'IEPS ESTIMACIONES'!K8</f>
        <v>208956.42247558897</v>
      </c>
      <c r="L6" s="702">
        <f>'IEPS INCREMENTO'!L8+'IEPS ESTIMACIONES'!L8</f>
        <v>142344.84437575756</v>
      </c>
      <c r="M6" s="702">
        <f>'IEPS INCREMENTO'!M8+'IEPS ESTIMACIONES'!M8</f>
        <v>142412.19970080123</v>
      </c>
      <c r="N6" s="702">
        <f>'IEPS INCREMENTO'!N8+'IEPS ESTIMACIONES'!N8</f>
        <v>157928.94047967275</v>
      </c>
      <c r="O6" s="703">
        <f t="shared" ref="O6:O24" si="0">SUM(C6:N6)</f>
        <v>1969437.36375</v>
      </c>
    </row>
    <row r="7" spans="1:15" ht="12.75" customHeight="1" x14ac:dyDescent="0.2">
      <c r="A7" s="700" t="s">
        <v>150</v>
      </c>
      <c r="B7" s="712"/>
      <c r="C7" s="702">
        <f>'IEPS INCREMENTO'!C9+'IEPS ESTIMACIONES'!C9</f>
        <v>147482.45167785214</v>
      </c>
      <c r="D7" s="702">
        <f>'IEPS INCREMENTO'!D9+'IEPS ESTIMACIONES'!D9</f>
        <v>208900.36060949942</v>
      </c>
      <c r="E7" s="702">
        <f>'IEPS INCREMENTO'!E9+'IEPS ESTIMACIONES'!E9</f>
        <v>202551.43412289902</v>
      </c>
      <c r="F7" s="702">
        <f>'IEPS INCREMENTO'!F9+'IEPS ESTIMACIONES'!F9</f>
        <v>135556.73434626672</v>
      </c>
      <c r="G7" s="702">
        <f>'IEPS INCREMENTO'!G9+'IEPS ESTIMACIONES'!G9</f>
        <v>157124.01523039411</v>
      </c>
      <c r="H7" s="702">
        <f>'IEPS INCREMENTO'!H9+'IEPS ESTIMACIONES'!H9</f>
        <v>165714.84022001401</v>
      </c>
      <c r="I7" s="702">
        <f>'IEPS INCREMENTO'!I9+'IEPS ESTIMACIONES'!I9</f>
        <v>170749.94367667381</v>
      </c>
      <c r="J7" s="702">
        <f>'IEPS INCREMENTO'!J9+'IEPS ESTIMACIONES'!J9</f>
        <v>176634.39982352557</v>
      </c>
      <c r="K7" s="702">
        <f>'IEPS INCREMENTO'!K9+'IEPS ESTIMACIONES'!K9</f>
        <v>214906.36432823914</v>
      </c>
      <c r="L7" s="702">
        <f>'IEPS INCREMENTO'!L9+'IEPS ESTIMACIONES'!L9</f>
        <v>148160.34164203078</v>
      </c>
      <c r="M7" s="702">
        <f>'IEPS INCREMENTO'!M9+'IEPS ESTIMACIONES'!M9</f>
        <v>148095.58691568166</v>
      </c>
      <c r="N7" s="702">
        <f>'IEPS INCREMENTO'!N9+'IEPS ESTIMACIONES'!N9</f>
        <v>163634.89115692361</v>
      </c>
      <c r="O7" s="703">
        <f t="shared" si="0"/>
        <v>2039511.36375</v>
      </c>
    </row>
    <row r="8" spans="1:15" ht="12.75" customHeight="1" x14ac:dyDescent="0.2">
      <c r="A8" s="700" t="s">
        <v>288</v>
      </c>
      <c r="B8" s="712"/>
      <c r="C8" s="702">
        <f>'IEPS INCREMENTO'!C10+'IEPS ESTIMACIONES'!C10</f>
        <v>132446.388523259</v>
      </c>
      <c r="D8" s="702">
        <f>'IEPS INCREMENTO'!D10+'IEPS ESTIMACIONES'!D10</f>
        <v>185960.52175018753</v>
      </c>
      <c r="E8" s="702">
        <f>'IEPS INCREMENTO'!E10+'IEPS ESTIMACIONES'!E10</f>
        <v>186780.85126775343</v>
      </c>
      <c r="F8" s="702">
        <f>'IEPS INCREMENTO'!F10+'IEPS ESTIMACIONES'!F10</f>
        <v>117642.34294013977</v>
      </c>
      <c r="G8" s="702">
        <f>'IEPS INCREMENTO'!G10+'IEPS ESTIMACIONES'!G10</f>
        <v>140056.19963313034</v>
      </c>
      <c r="H8" s="702">
        <f>'IEPS INCREMENTO'!H10+'IEPS ESTIMACIONES'!H10</f>
        <v>147871.19553532783</v>
      </c>
      <c r="I8" s="702">
        <f>'IEPS INCREMENTO'!I10+'IEPS ESTIMACIONES'!I10</f>
        <v>152616.83829788945</v>
      </c>
      <c r="J8" s="702">
        <f>'IEPS INCREMENTO'!J10+'IEPS ESTIMACIONES'!J10</f>
        <v>157822.218499134</v>
      </c>
      <c r="K8" s="702">
        <f>'IEPS INCREMENTO'!K10+'IEPS ESTIMACIONES'!K10</f>
        <v>196706.54219072097</v>
      </c>
      <c r="L8" s="702">
        <f>'IEPS INCREMENTO'!L10+'IEPS ESTIMACIONES'!L10</f>
        <v>130371.76176872454</v>
      </c>
      <c r="M8" s="702">
        <f>'IEPS INCREMENTO'!M10+'IEPS ESTIMACIONES'!M10</f>
        <v>130711.10837604741</v>
      </c>
      <c r="N8" s="702">
        <f>'IEPS INCREMENTO'!N10+'IEPS ESTIMACIONES'!N10</f>
        <v>146181.39496768572</v>
      </c>
      <c r="O8" s="703">
        <f t="shared" si="0"/>
        <v>1825167.3637500003</v>
      </c>
    </row>
    <row r="9" spans="1:15" ht="12.75" customHeight="1" x14ac:dyDescent="0.2">
      <c r="A9" s="700" t="s">
        <v>152</v>
      </c>
      <c r="B9" s="712"/>
      <c r="C9" s="702">
        <f>'IEPS INCREMENTO'!C11+'IEPS ESTIMACIONES'!C11</f>
        <v>103386.30492640112</v>
      </c>
      <c r="D9" s="702">
        <f>'IEPS INCREMENTO'!D11+'IEPS ESTIMACIONES'!D11</f>
        <v>141624.87164709435</v>
      </c>
      <c r="E9" s="702">
        <f>'IEPS INCREMENTO'!E11+'IEPS ESTIMACIONES'!E11</f>
        <v>156301.16709578934</v>
      </c>
      <c r="F9" s="702">
        <f>'IEPS INCREMENTO'!F11+'IEPS ESTIMACIONES'!F11</f>
        <v>83019.336472529016</v>
      </c>
      <c r="G9" s="702">
        <f>'IEPS INCREMENTO'!G11+'IEPS ESTIMACIONES'!G11</f>
        <v>107069.36371918779</v>
      </c>
      <c r="H9" s="702">
        <f>'IEPS INCREMENTO'!H11+'IEPS ESTIMACIONES'!H11</f>
        <v>113384.92071204016</v>
      </c>
      <c r="I9" s="702">
        <f>'IEPS INCREMENTO'!I11+'IEPS ESTIMACIONES'!I11</f>
        <v>117571.12501773889</v>
      </c>
      <c r="J9" s="702">
        <f>'IEPS INCREMENTO'!J11+'IEPS ESTIMACIONES'!J11</f>
        <v>121464.06036256957</v>
      </c>
      <c r="K9" s="702">
        <f>'IEPS INCREMENTO'!K11+'IEPS ESTIMACIONES'!K11</f>
        <v>161531.88594417146</v>
      </c>
      <c r="L9" s="702">
        <f>'IEPS INCREMENTO'!L11+'IEPS ESTIMACIONES'!L11</f>
        <v>95991.91028281537</v>
      </c>
      <c r="M9" s="702">
        <f>'IEPS INCREMENTO'!M11+'IEPS ESTIMACIONES'!M11</f>
        <v>97112.260429254296</v>
      </c>
      <c r="N9" s="702">
        <f>'IEPS INCREMENTO'!N11+'IEPS ESTIMACIONES'!N11</f>
        <v>112449.15714040858</v>
      </c>
      <c r="O9" s="703">
        <f t="shared" si="0"/>
        <v>1410906.36375</v>
      </c>
    </row>
    <row r="10" spans="1:15" ht="12.75" customHeight="1" x14ac:dyDescent="0.2">
      <c r="A10" s="700" t="s">
        <v>289</v>
      </c>
      <c r="B10" s="712"/>
      <c r="C10" s="702">
        <f>'IEPS INCREMENTO'!C12+'IEPS ESTIMACIONES'!C12</f>
        <v>196494.23446061247</v>
      </c>
      <c r="D10" s="702">
        <f>'IEPS INCREMENTO'!D12+'IEPS ESTIMACIONES'!D12</f>
        <v>283675.41227591038</v>
      </c>
      <c r="E10" s="702">
        <f>'IEPS INCREMENTO'!E12+'IEPS ESTIMACIONES'!E12</f>
        <v>253957.46862188331</v>
      </c>
      <c r="F10" s="702">
        <f>'IEPS INCREMENTO'!F12+'IEPS ESTIMACIONES'!F12</f>
        <v>193950.76017969978</v>
      </c>
      <c r="G10" s="702">
        <f>'IEPS INCREMENTO'!G12+'IEPS ESTIMACIONES'!G12</f>
        <v>212758.52953301364</v>
      </c>
      <c r="H10" s="702">
        <f>'IEPS INCREMENTO'!H12+'IEPS ESTIMACIONES'!H12</f>
        <v>223878.25895182759</v>
      </c>
      <c r="I10" s="702">
        <f>'IEPS INCREMENTO'!I12+'IEPS ESTIMACIONES'!I12</f>
        <v>229856.89294021134</v>
      </c>
      <c r="J10" s="702">
        <f>'IEPS INCREMENTO'!J12+'IEPS ESTIMACIONES'!J12</f>
        <v>237954.87548668653</v>
      </c>
      <c r="K10" s="702">
        <f>'IEPS INCREMENTO'!K12+'IEPS ESTIMACIONES'!K12</f>
        <v>274230.78456495702</v>
      </c>
      <c r="L10" s="702">
        <f>'IEPS INCREMENTO'!L12+'IEPS ESTIMACIONES'!L12</f>
        <v>206144.27026751937</v>
      </c>
      <c r="M10" s="702">
        <f>'IEPS INCREMENTO'!M12+'IEPS ESTIMACIONES'!M12</f>
        <v>204762.30061698947</v>
      </c>
      <c r="N10" s="702">
        <f>'IEPS INCREMENTO'!N12+'IEPS ESTIMACIONES'!N12</f>
        <v>220526.57585068952</v>
      </c>
      <c r="O10" s="703">
        <f t="shared" si="0"/>
        <v>2738190.36375</v>
      </c>
    </row>
    <row r="11" spans="1:15" ht="12.75" customHeight="1" x14ac:dyDescent="0.2">
      <c r="A11" s="700" t="s">
        <v>154</v>
      </c>
      <c r="B11" s="712"/>
      <c r="C11" s="702">
        <f>'IEPS INCREMENTO'!C13+'IEPS ESTIMACIONES'!C13</f>
        <v>193891.83891462517</v>
      </c>
      <c r="D11" s="702">
        <f>'IEPS INCREMENTO'!D13+'IEPS ESTIMACIONES'!D13</f>
        <v>279705.05555026018</v>
      </c>
      <c r="E11" s="702">
        <f>'IEPS INCREMENTO'!E13+'IEPS ESTIMACIONES'!E13</f>
        <v>251227.94466618501</v>
      </c>
      <c r="F11" s="702">
        <f>'IEPS INCREMENTO'!F13+'IEPS ESTIMACIONES'!F13</f>
        <v>190850.19243633165</v>
      </c>
      <c r="G11" s="702">
        <f>'IEPS INCREMENTO'!G13+'IEPS ESTIMACIONES'!G13</f>
        <v>209804.48452579489</v>
      </c>
      <c r="H11" s="702">
        <f>'IEPS INCREMENTO'!H13+'IEPS ESTIMACIONES'!H13</f>
        <v>220789.93583332421</v>
      </c>
      <c r="I11" s="702">
        <f>'IEPS INCREMENTO'!I13+'IEPS ESTIMACIONES'!I13</f>
        <v>226718.47085542174</v>
      </c>
      <c r="J11" s="702">
        <f>'IEPS INCREMENTO'!J13+'IEPS ESTIMACIONES'!J13</f>
        <v>234698.92102669569</v>
      </c>
      <c r="K11" s="702">
        <f>'IEPS INCREMENTO'!K13+'IEPS ESTIMACIONES'!K13</f>
        <v>271080.81534884806</v>
      </c>
      <c r="L11" s="702">
        <f>'IEPS INCREMENTO'!L13+'IEPS ESTIMACIONES'!L13</f>
        <v>203065.47759713943</v>
      </c>
      <c r="M11" s="702">
        <f>'IEPS INCREMENTO'!M13+'IEPS ESTIMACIONES'!M13</f>
        <v>201753.44856205274</v>
      </c>
      <c r="N11" s="702">
        <f>'IEPS INCREMENTO'!N13+'IEPS ESTIMACIONES'!N13</f>
        <v>217505.77843332139</v>
      </c>
      <c r="O11" s="703">
        <f t="shared" si="0"/>
        <v>2701092.36375</v>
      </c>
    </row>
    <row r="12" spans="1:15" ht="12.75" customHeight="1" x14ac:dyDescent="0.2">
      <c r="A12" s="700" t="s">
        <v>155</v>
      </c>
      <c r="B12" s="712"/>
      <c r="C12" s="702">
        <f>'IEPS INCREMENTO'!C14+'IEPS ESTIMACIONES'!C14</f>
        <v>124350.04682463192</v>
      </c>
      <c r="D12" s="702">
        <f>'IEPS INCREMENTO'!D14+'IEPS ESTIMACIONES'!D14</f>
        <v>173608.30082594266</v>
      </c>
      <c r="E12" s="702">
        <f>'IEPS INCREMENTO'!E14+'IEPS ESTIMACIONES'!E14</f>
        <v>178288.99896113656</v>
      </c>
      <c r="F12" s="702">
        <f>'IEPS INCREMENTO'!F14+'IEPS ESTIMACIONES'!F14</f>
        <v>107996.13218299448</v>
      </c>
      <c r="G12" s="702">
        <f>'IEPS INCREMENTO'!G14+'IEPS ESTIMACIONES'!G14</f>
        <v>130865.83738844981</v>
      </c>
      <c r="H12" s="702">
        <f>'IEPS INCREMENTO'!H14+'IEPS ESTIMACIONES'!H14</f>
        <v>138263.07916665066</v>
      </c>
      <c r="I12" s="702">
        <f>'IEPS INCREMENTO'!I14+'IEPS ESTIMACIONES'!I14</f>
        <v>142852.85847854402</v>
      </c>
      <c r="J12" s="702">
        <f>'IEPS INCREMENTO'!J14+'IEPS ESTIMACIONES'!J14</f>
        <v>147692.58240138472</v>
      </c>
      <c r="K12" s="702">
        <f>'IEPS INCREMENTO'!K14+'IEPS ESTIMACIONES'!K14</f>
        <v>186906.63796282659</v>
      </c>
      <c r="L12" s="702">
        <f>'IEPS INCREMENTO'!L14+'IEPS ESTIMACIONES'!L14</f>
        <v>120793.2956830981</v>
      </c>
      <c r="M12" s="702">
        <f>'IEPS INCREMENTO'!M14+'IEPS ESTIMACIONES'!M14</f>
        <v>121350.23531624436</v>
      </c>
      <c r="N12" s="702">
        <f>'IEPS INCREMENTO'!N14+'IEPS ESTIMACIONES'!N14</f>
        <v>136783.35855809605</v>
      </c>
      <c r="O12" s="703">
        <f t="shared" si="0"/>
        <v>1709751.3637499998</v>
      </c>
    </row>
    <row r="13" spans="1:15" ht="12.75" customHeight="1" x14ac:dyDescent="0.2">
      <c r="A13" s="700" t="s">
        <v>156</v>
      </c>
      <c r="B13" s="712"/>
      <c r="C13" s="702">
        <f>'IEPS INCREMENTO'!C15+'IEPS ESTIMACIONES'!C15</f>
        <v>132446.388523259</v>
      </c>
      <c r="D13" s="702">
        <f>'IEPS INCREMENTO'!D15+'IEPS ESTIMACIONES'!D15</f>
        <v>185960.52175018753</v>
      </c>
      <c r="E13" s="702">
        <f>'IEPS INCREMENTO'!E15+'IEPS ESTIMACIONES'!E15</f>
        <v>186780.85126775343</v>
      </c>
      <c r="F13" s="702">
        <f>'IEPS INCREMENTO'!F15+'IEPS ESTIMACIONES'!F15</f>
        <v>117642.34294013977</v>
      </c>
      <c r="G13" s="702">
        <f>'IEPS INCREMENTO'!G15+'IEPS ESTIMACIONES'!G15</f>
        <v>140056.19963313034</v>
      </c>
      <c r="H13" s="702">
        <f>'IEPS INCREMENTO'!H15+'IEPS ESTIMACIONES'!H15</f>
        <v>147871.19553532783</v>
      </c>
      <c r="I13" s="702">
        <f>'IEPS INCREMENTO'!I15+'IEPS ESTIMACIONES'!I15</f>
        <v>152616.83829788945</v>
      </c>
      <c r="J13" s="702">
        <f>'IEPS INCREMENTO'!J15+'IEPS ESTIMACIONES'!J15</f>
        <v>157822.218499134</v>
      </c>
      <c r="K13" s="702">
        <f>'IEPS INCREMENTO'!K15+'IEPS ESTIMACIONES'!K15</f>
        <v>196706.54219072097</v>
      </c>
      <c r="L13" s="702">
        <f>'IEPS INCREMENTO'!L15+'IEPS ESTIMACIONES'!L15</f>
        <v>130371.76176872454</v>
      </c>
      <c r="M13" s="702">
        <f>'IEPS INCREMENTO'!M15+'IEPS ESTIMACIONES'!M15</f>
        <v>130711.10837604741</v>
      </c>
      <c r="N13" s="702">
        <f>'IEPS INCREMENTO'!N15+'IEPS ESTIMACIONES'!N15</f>
        <v>146181.39496768572</v>
      </c>
      <c r="O13" s="703">
        <f t="shared" si="0"/>
        <v>1825167.3637500003</v>
      </c>
    </row>
    <row r="14" spans="1:15" ht="12.75" customHeight="1" x14ac:dyDescent="0.2">
      <c r="A14" s="700" t="s">
        <v>157</v>
      </c>
      <c r="B14" s="712"/>
      <c r="C14" s="702">
        <f>'IEPS INCREMENTO'!C16+'IEPS ESTIMACIONES'!C16</f>
        <v>187964.16017098748</v>
      </c>
      <c r="D14" s="702">
        <f>'IEPS INCREMENTO'!D16+'IEPS ESTIMACIONES'!D16</f>
        <v>270661.46523072378</v>
      </c>
      <c r="E14" s="702">
        <f>'IEPS INCREMENTO'!E16+'IEPS ESTIMACIONES'!E16</f>
        <v>245010.69565598338</v>
      </c>
      <c r="F14" s="702">
        <f>'IEPS INCREMENTO'!F16+'IEPS ESTIMACIONES'!F16</f>
        <v>183787.78813199315</v>
      </c>
      <c r="G14" s="702">
        <f>'IEPS INCREMENTO'!G16+'IEPS ESTIMACIONES'!G16</f>
        <v>203075.82645379668</v>
      </c>
      <c r="H14" s="702">
        <f>'IEPS INCREMENTO'!H16+'IEPS ESTIMACIONES'!H16</f>
        <v>213755.42206339986</v>
      </c>
      <c r="I14" s="702">
        <f>'IEPS INCREMENTO'!I16+'IEPS ESTIMACIONES'!I16</f>
        <v>219569.84277340097</v>
      </c>
      <c r="J14" s="702">
        <f>'IEPS INCREMENTO'!J16+'IEPS ESTIMACIONES'!J16</f>
        <v>227282.58031227207</v>
      </c>
      <c r="K14" s="702">
        <f>'IEPS INCREMENTO'!K16+'IEPS ESTIMACIONES'!K16</f>
        <v>263905.88546771114</v>
      </c>
      <c r="L14" s="702">
        <f>'IEPS INCREMENTO'!L16+'IEPS ESTIMACIONES'!L16</f>
        <v>196052.67207016295</v>
      </c>
      <c r="M14" s="702">
        <f>'IEPS INCREMENTO'!M16+'IEPS ESTIMACIONES'!M16</f>
        <v>194899.95221469694</v>
      </c>
      <c r="N14" s="702">
        <f>'IEPS INCREMENTO'!N16+'IEPS ESTIMACIONES'!N16</f>
        <v>210625.07320487185</v>
      </c>
      <c r="O14" s="703">
        <f t="shared" si="0"/>
        <v>2616591.36375</v>
      </c>
    </row>
    <row r="15" spans="1:15" ht="12.75" customHeight="1" x14ac:dyDescent="0.2">
      <c r="A15" s="700" t="s">
        <v>158</v>
      </c>
      <c r="B15" s="712"/>
      <c r="C15" s="702">
        <f>'IEPS INCREMENTO'!C17+'IEPS ESTIMACIONES'!C17</f>
        <v>131578.92334126326</v>
      </c>
      <c r="D15" s="702">
        <f>'IEPS INCREMENTO'!D17+'IEPS ESTIMACIONES'!D17</f>
        <v>184637.06950830415</v>
      </c>
      <c r="E15" s="702">
        <f>'IEPS INCREMENTO'!E17+'IEPS ESTIMACIONES'!E17</f>
        <v>185871.00994918734</v>
      </c>
      <c r="F15" s="702">
        <f>'IEPS INCREMENTO'!F17+'IEPS ESTIMACIONES'!F17</f>
        <v>116608.82035901706</v>
      </c>
      <c r="G15" s="702">
        <f>'IEPS INCREMENTO'!G17+'IEPS ESTIMACIONES'!G17</f>
        <v>139071.51796405742</v>
      </c>
      <c r="H15" s="702">
        <f>'IEPS INCREMENTO'!H17+'IEPS ESTIMACIONES'!H17</f>
        <v>146841.75449582672</v>
      </c>
      <c r="I15" s="702">
        <f>'IEPS INCREMENTO'!I17+'IEPS ESTIMACIONES'!I17</f>
        <v>151570.69760295958</v>
      </c>
      <c r="J15" s="702">
        <f>'IEPS INCREMENTO'!J17+'IEPS ESTIMACIONES'!J17</f>
        <v>156736.90034580373</v>
      </c>
      <c r="K15" s="702">
        <f>'IEPS INCREMENTO'!K17+'IEPS ESTIMACIONES'!K17</f>
        <v>195656.55245201802</v>
      </c>
      <c r="L15" s="702">
        <f>'IEPS INCREMENTO'!L17+'IEPS ESTIMACIONES'!L17</f>
        <v>129345.49754526457</v>
      </c>
      <c r="M15" s="702">
        <f>'IEPS INCREMENTO'!M17+'IEPS ESTIMACIONES'!M17</f>
        <v>129708.15769106853</v>
      </c>
      <c r="N15" s="702">
        <f>'IEPS INCREMENTO'!N17+'IEPS ESTIMACIONES'!N17</f>
        <v>145174.46249522967</v>
      </c>
      <c r="O15" s="703">
        <f t="shared" si="0"/>
        <v>1812801.36375</v>
      </c>
    </row>
    <row r="16" spans="1:15" ht="12.75" customHeight="1" x14ac:dyDescent="0.2">
      <c r="A16" s="700" t="s">
        <v>159</v>
      </c>
      <c r="B16" s="712"/>
      <c r="C16" s="702">
        <f>'IEPS INCREMENTO'!C18+'IEPS ESTIMACIONES'!C18</f>
        <v>121024.76362698153</v>
      </c>
      <c r="D16" s="702">
        <f>'IEPS INCREMENTO'!D18+'IEPS ESTIMACIONES'!D18</f>
        <v>168535.06723205638</v>
      </c>
      <c r="E16" s="702">
        <f>'IEPS INCREMENTO'!E18+'IEPS ESTIMACIONES'!E18</f>
        <v>174801.2739066332</v>
      </c>
      <c r="F16" s="702">
        <f>'IEPS INCREMENTO'!F18+'IEPS ESTIMACIONES'!F18</f>
        <v>104034.2956220241</v>
      </c>
      <c r="G16" s="702">
        <f>'IEPS INCREMENTO'!G18+'IEPS ESTIMACIONES'!G18</f>
        <v>127091.22432367032</v>
      </c>
      <c r="H16" s="702">
        <f>'IEPS INCREMENTO'!H18+'IEPS ESTIMACIONES'!H18</f>
        <v>134316.88851522969</v>
      </c>
      <c r="I16" s="702">
        <f>'IEPS INCREMENTO'!I18+'IEPS ESTIMACIONES'!I18</f>
        <v>138842.65248131286</v>
      </c>
      <c r="J16" s="702">
        <f>'IEPS INCREMENTO'!J18+'IEPS ESTIMACIONES'!J18</f>
        <v>143532.19614695199</v>
      </c>
      <c r="K16" s="702">
        <f>'IEPS INCREMENTO'!K18+'IEPS ESTIMACIONES'!K18</f>
        <v>182881.67729779854</v>
      </c>
      <c r="L16" s="702">
        <f>'IEPS INCREMENTO'!L18+'IEPS ESTIMACIONES'!L18</f>
        <v>116859.28282650154</v>
      </c>
      <c r="M16" s="702">
        <f>'IEPS INCREMENTO'!M18+'IEPS ESTIMACIONES'!M18</f>
        <v>117505.59102382525</v>
      </c>
      <c r="N16" s="702">
        <f>'IEPS INCREMENTO'!N18+'IEPS ESTIMACIONES'!N18</f>
        <v>132923.45074701461</v>
      </c>
      <c r="O16" s="703">
        <f t="shared" si="0"/>
        <v>1662348.36375</v>
      </c>
    </row>
    <row r="17" spans="1:15" ht="12.75" customHeight="1" x14ac:dyDescent="0.2">
      <c r="A17" s="700" t="s">
        <v>160</v>
      </c>
      <c r="B17" s="712"/>
      <c r="C17" s="702">
        <f>'IEPS INCREMENTO'!C19+'IEPS ESTIMACIONES'!C19</f>
        <v>102952.57233540324</v>
      </c>
      <c r="D17" s="702">
        <f>'IEPS INCREMENTO'!D19+'IEPS ESTIMACIONES'!D19</f>
        <v>140963.14552615266</v>
      </c>
      <c r="E17" s="702">
        <f>'IEPS INCREMENTO'!E19+'IEPS ESTIMACIONES'!E19</f>
        <v>155846.24643650628</v>
      </c>
      <c r="F17" s="702">
        <f>'IEPS INCREMENTO'!F19+'IEPS ESTIMACIONES'!F19</f>
        <v>82502.575181967666</v>
      </c>
      <c r="G17" s="702">
        <f>'IEPS INCREMENTO'!G19+'IEPS ESTIMACIONES'!G19</f>
        <v>106577.02288465132</v>
      </c>
      <c r="H17" s="702">
        <f>'IEPS INCREMENTO'!H19+'IEPS ESTIMACIONES'!H19</f>
        <v>112870.2001922896</v>
      </c>
      <c r="I17" s="702">
        <f>'IEPS INCREMENTO'!I19+'IEPS ESTIMACIONES'!I19</f>
        <v>117048.05467027395</v>
      </c>
      <c r="J17" s="702">
        <f>'IEPS INCREMENTO'!J19+'IEPS ESTIMACIONES'!J19</f>
        <v>120921.40128590442</v>
      </c>
      <c r="K17" s="702">
        <f>'IEPS INCREMENTO'!K19+'IEPS ESTIMACIONES'!K19</f>
        <v>161006.89107481999</v>
      </c>
      <c r="L17" s="702">
        <f>'IEPS INCREMENTO'!L19+'IEPS ESTIMACIONES'!L19</f>
        <v>95478.778171085389</v>
      </c>
      <c r="M17" s="702">
        <f>'IEPS INCREMENTO'!M19+'IEPS ESTIMACIONES'!M19</f>
        <v>96610.785086764852</v>
      </c>
      <c r="N17" s="702">
        <f>'IEPS INCREMENTO'!N19+'IEPS ESTIMACIONES'!N19</f>
        <v>111945.69090418058</v>
      </c>
      <c r="O17" s="703">
        <f t="shared" si="0"/>
        <v>1404723.36375</v>
      </c>
    </row>
    <row r="18" spans="1:15" ht="12.75" customHeight="1" x14ac:dyDescent="0.2">
      <c r="A18" s="700" t="s">
        <v>290</v>
      </c>
      <c r="B18" s="712"/>
      <c r="C18" s="702">
        <f>'IEPS INCREMENTO'!C20+'IEPS ESTIMACIONES'!C20</f>
        <v>155867.94843714446</v>
      </c>
      <c r="D18" s="702">
        <f>'IEPS INCREMENTO'!D20+'IEPS ESTIMACIONES'!D20</f>
        <v>221693.73228103877</v>
      </c>
      <c r="E18" s="702">
        <f>'IEPS INCREMENTO'!E20+'IEPS ESTIMACIONES'!E20</f>
        <v>211346.56686903795</v>
      </c>
      <c r="F18" s="702">
        <f>'IEPS INCREMENTO'!F20+'IEPS ESTIMACIONES'!F20</f>
        <v>145547.45263045293</v>
      </c>
      <c r="G18" s="702">
        <f>'IEPS INCREMENTO'!G20+'IEPS ESTIMACIONES'!G20</f>
        <v>166642.60469809893</v>
      </c>
      <c r="H18" s="702">
        <f>'IEPS INCREMENTO'!H20+'IEPS ESTIMACIONES'!H20</f>
        <v>175666.10360185825</v>
      </c>
      <c r="I18" s="702">
        <f>'IEPS INCREMENTO'!I20+'IEPS ESTIMACIONES'!I20</f>
        <v>180862.63706099588</v>
      </c>
      <c r="J18" s="702">
        <f>'IEPS INCREMENTO'!J20+'IEPS ESTIMACIONES'!J20</f>
        <v>187125.80863905165</v>
      </c>
      <c r="K18" s="702">
        <f>'IEPS INCREMENTO'!K20+'IEPS ESTIMACIONES'!K20</f>
        <v>225056.26513570122</v>
      </c>
      <c r="L18" s="702">
        <f>'IEPS INCREMENTO'!L20+'IEPS ESTIMACIONES'!L20</f>
        <v>158080.89580214387</v>
      </c>
      <c r="M18" s="702">
        <f>'IEPS INCREMENTO'!M20+'IEPS ESTIMACIONES'!M20</f>
        <v>157790.77687047771</v>
      </c>
      <c r="N18" s="702">
        <f>'IEPS INCREMENTO'!N20+'IEPS ESTIMACIONES'!N20</f>
        <v>173368.57172399861</v>
      </c>
      <c r="O18" s="703">
        <f t="shared" si="0"/>
        <v>2159049.3637500005</v>
      </c>
    </row>
    <row r="19" spans="1:15" ht="12.75" customHeight="1" x14ac:dyDescent="0.2">
      <c r="A19" s="700" t="s">
        <v>291</v>
      </c>
      <c r="B19" s="712"/>
      <c r="C19" s="702">
        <f>'IEPS INCREMENTO'!C21+'IEPS ESTIMACIONES'!C21</f>
        <v>132446.388523259</v>
      </c>
      <c r="D19" s="702">
        <f>'IEPS INCREMENTO'!D21+'IEPS ESTIMACIONES'!D21</f>
        <v>185960.52175018753</v>
      </c>
      <c r="E19" s="702">
        <f>'IEPS INCREMENTO'!E21+'IEPS ESTIMACIONES'!E21</f>
        <v>186780.85126775343</v>
      </c>
      <c r="F19" s="702">
        <f>'IEPS INCREMENTO'!F21+'IEPS ESTIMACIONES'!F21</f>
        <v>117642.34294013977</v>
      </c>
      <c r="G19" s="702">
        <f>'IEPS INCREMENTO'!G21+'IEPS ESTIMACIONES'!G21</f>
        <v>140056.19963313034</v>
      </c>
      <c r="H19" s="702">
        <f>'IEPS INCREMENTO'!H21+'IEPS ESTIMACIONES'!H21</f>
        <v>147871.19553532783</v>
      </c>
      <c r="I19" s="702">
        <f>'IEPS INCREMENTO'!I21+'IEPS ESTIMACIONES'!I21</f>
        <v>152616.83829788945</v>
      </c>
      <c r="J19" s="702">
        <f>'IEPS INCREMENTO'!J21+'IEPS ESTIMACIONES'!J21</f>
        <v>157822.218499134</v>
      </c>
      <c r="K19" s="702">
        <f>'IEPS INCREMENTO'!K21+'IEPS ESTIMACIONES'!K21</f>
        <v>196706.54219072097</v>
      </c>
      <c r="L19" s="702">
        <f>'IEPS INCREMENTO'!L21+'IEPS ESTIMACIONES'!L21</f>
        <v>130371.76176872454</v>
      </c>
      <c r="M19" s="702">
        <f>'IEPS INCREMENTO'!M21+'IEPS ESTIMACIONES'!M21</f>
        <v>130711.10837604741</v>
      </c>
      <c r="N19" s="702">
        <f>'IEPS INCREMENTO'!N21+'IEPS ESTIMACIONES'!N21</f>
        <v>146181.39496768572</v>
      </c>
      <c r="O19" s="703">
        <f t="shared" si="0"/>
        <v>1825167.3637500003</v>
      </c>
    </row>
    <row r="20" spans="1:15" ht="12.75" customHeight="1" x14ac:dyDescent="0.2">
      <c r="A20" s="700" t="s">
        <v>292</v>
      </c>
      <c r="B20" s="712"/>
      <c r="C20" s="702">
        <f>'IEPS INCREMENTO'!C22+'IEPS ESTIMACIONES'!C22</f>
        <v>83579.183270831316</v>
      </c>
      <c r="D20" s="702">
        <f>'IEPS INCREMENTO'!D22+'IEPS ESTIMACIONES'!D22</f>
        <v>111406.04545742387</v>
      </c>
      <c r="E20" s="702">
        <f>'IEPS INCREMENTO'!E22+'IEPS ESTIMACIONES'!E22</f>
        <v>135526.4569885302</v>
      </c>
      <c r="F20" s="702">
        <f>'IEPS INCREMENTO'!F22+'IEPS ESTIMACIONES'!F22</f>
        <v>59420.570870227166</v>
      </c>
      <c r="G20" s="702">
        <f>'IEPS INCREMENTO'!G22+'IEPS ESTIMACIONES'!G22</f>
        <v>84585.798942022971</v>
      </c>
      <c r="H20" s="702">
        <f>'IEPS INCREMENTO'!H22+'IEPS ESTIMACIONES'!H22</f>
        <v>89879.350310097798</v>
      </c>
      <c r="I20" s="702">
        <f>'IEPS INCREMENTO'!I22+'IEPS ESTIMACIONES'!I22</f>
        <v>93684.245816840237</v>
      </c>
      <c r="J20" s="702">
        <f>'IEPS INCREMENTO'!J22+'IEPS ESTIMACIONES'!J22</f>
        <v>96682.629194861453</v>
      </c>
      <c r="K20" s="702">
        <f>'IEPS INCREMENTO'!K22+'IEPS ESTIMACIONES'!K22</f>
        <v>137557.12024378698</v>
      </c>
      <c r="L20" s="702">
        <f>'IEPS INCREMENTO'!L22+'IEPS ESTIMACIONES'!L22</f>
        <v>72558.877180479278</v>
      </c>
      <c r="M20" s="702">
        <f>'IEPS INCREMENTO'!M22+'IEPS ESTIMACIONES'!M22</f>
        <v>74211.553122236117</v>
      </c>
      <c r="N20" s="702">
        <f>'IEPS INCREMENTO'!N22+'IEPS ESTIMACIONES'!N22</f>
        <v>89457.5323526625</v>
      </c>
      <c r="O20" s="703">
        <f t="shared" si="0"/>
        <v>1128549.3637499998</v>
      </c>
    </row>
    <row r="21" spans="1:15" ht="12.75" customHeight="1" x14ac:dyDescent="0.2">
      <c r="A21" s="700" t="s">
        <v>164</v>
      </c>
      <c r="B21" s="712"/>
      <c r="C21" s="702">
        <f>'IEPS INCREMENTO'!C23+'IEPS ESTIMACIONES'!C23</f>
        <v>117988.63548999638</v>
      </c>
      <c r="D21" s="702">
        <f>'IEPS INCREMENTO'!D23+'IEPS ESTIMACIONES'!D23</f>
        <v>163902.98438546457</v>
      </c>
      <c r="E21" s="702">
        <f>'IEPS INCREMENTO'!E23+'IEPS ESTIMACIONES'!E23</f>
        <v>171616.8292916519</v>
      </c>
      <c r="F21" s="702">
        <f>'IEPS INCREMENTO'!F23+'IEPS ESTIMACIONES'!F23</f>
        <v>100416.96658809463</v>
      </c>
      <c r="G21" s="702">
        <f>'IEPS INCREMENTO'!G23+'IEPS ESTIMACIONES'!G23</f>
        <v>123644.83848191513</v>
      </c>
      <c r="H21" s="702">
        <f>'IEPS INCREMENTO'!H23+'IEPS ESTIMACIONES'!H23</f>
        <v>130713.84487697577</v>
      </c>
      <c r="I21" s="702">
        <f>'IEPS INCREMENTO'!I23+'IEPS ESTIMACIONES'!I23</f>
        <v>135181.16004905832</v>
      </c>
      <c r="J21" s="702">
        <f>'IEPS INCREMENTO'!J23+'IEPS ESTIMACIONES'!J23</f>
        <v>139733.58261029597</v>
      </c>
      <c r="K21" s="702">
        <f>'IEPS INCREMENTO'!K23+'IEPS ESTIMACIONES'!K23</f>
        <v>179206.71321233816</v>
      </c>
      <c r="L21" s="702">
        <f>'IEPS INCREMENTO'!L23+'IEPS ESTIMACIONES'!L23</f>
        <v>113267.35804439163</v>
      </c>
      <c r="M21" s="702">
        <f>'IEPS INCREMENTO'!M23+'IEPS ESTIMACIONES'!M23</f>
        <v>113995.2636263991</v>
      </c>
      <c r="N21" s="702">
        <f>'IEPS INCREMENTO'!N23+'IEPS ESTIMACIONES'!N23</f>
        <v>129399.1870934185</v>
      </c>
      <c r="O21" s="703">
        <f t="shared" si="0"/>
        <v>1619067.3637500005</v>
      </c>
    </row>
    <row r="22" spans="1:15" ht="12.75" customHeight="1" x14ac:dyDescent="0.2">
      <c r="A22" s="700" t="s">
        <v>165</v>
      </c>
      <c r="B22" s="712"/>
      <c r="C22" s="702">
        <f>'IEPS INCREMENTO'!C24+'IEPS ESTIMACIONES'!C24</f>
        <v>64350.371736592017</v>
      </c>
      <c r="D22" s="702">
        <f>'IEPS INCREMENTO'!D24+'IEPS ESTIMACIONES'!D24</f>
        <v>82069.520762342305</v>
      </c>
      <c r="E22" s="702">
        <f>'IEPS INCREMENTO'!E24+'IEPS ESTIMACIONES'!E24</f>
        <v>115358.30776031513</v>
      </c>
      <c r="F22" s="702">
        <f>'IEPS INCREMENTO'!F24+'IEPS ESTIMACIONES'!F24</f>
        <v>36510.820322007115</v>
      </c>
      <c r="G22" s="702">
        <f>'IEPS INCREMENTO'!G24+'IEPS ESTIMACIONES'!G24</f>
        <v>62758.688610906764</v>
      </c>
      <c r="H22" s="702">
        <f>'IEPS INCREMENTO'!H24+'IEPS ESTIMACIONES'!H24</f>
        <v>67060.073934489526</v>
      </c>
      <c r="I22" s="702">
        <f>'IEPS INCREMENTO'!I24+'IEPS ESTIMACIONES'!I24</f>
        <v>70494.793745894844</v>
      </c>
      <c r="J22" s="702">
        <f>'IEPS INCREMENTO'!J24+'IEPS ESTIMACIONES'!J24</f>
        <v>72624.743462706858</v>
      </c>
      <c r="K22" s="702">
        <f>'IEPS INCREMENTO'!K24+'IEPS ESTIMACIONES'!K24</f>
        <v>114282.34770253779</v>
      </c>
      <c r="L22" s="702">
        <f>'IEPS INCREMENTO'!L24+'IEPS ESTIMACIONES'!L24</f>
        <v>49810.020227116496</v>
      </c>
      <c r="M22" s="702">
        <f>'IEPS INCREMENTO'!M24+'IEPS ESTIMACIONES'!M24</f>
        <v>51979.479605203851</v>
      </c>
      <c r="N22" s="702">
        <f>'IEPS INCREMENTO'!N24+'IEPS ESTIMACIONES'!N24</f>
        <v>67137.195879887091</v>
      </c>
      <c r="O22" s="703">
        <f t="shared" si="0"/>
        <v>854436.36374999979</v>
      </c>
    </row>
    <row r="23" spans="1:15" ht="12.75" customHeight="1" x14ac:dyDescent="0.2">
      <c r="A23" s="700" t="s">
        <v>166</v>
      </c>
      <c r="B23" s="712"/>
      <c r="C23" s="702">
        <f>'IEPS INCREMENTO'!C25+'IEPS ESTIMACIONES'!C25</f>
        <v>113506.73204968494</v>
      </c>
      <c r="D23" s="702">
        <f>'IEPS INCREMENTO'!D25+'IEPS ESTIMACIONES'!D25</f>
        <v>157065.1478024004</v>
      </c>
      <c r="E23" s="702">
        <f>'IEPS INCREMENTO'!E25+'IEPS ESTIMACIONES'!E25</f>
        <v>166915.98247906042</v>
      </c>
      <c r="F23" s="702">
        <f>'IEPS INCREMENTO'!F25+'IEPS ESTIMACIONES'!F25</f>
        <v>95077.099918960623</v>
      </c>
      <c r="G23" s="702">
        <f>'IEPS INCREMENTO'!G25+'IEPS ESTIMACIONES'!G25</f>
        <v>118557.31652503842</v>
      </c>
      <c r="H23" s="702">
        <f>'IEPS INCREMENTO'!H25+'IEPS ESTIMACIONES'!H25</f>
        <v>125395.06617288661</v>
      </c>
      <c r="I23" s="702">
        <f>'IEPS INCREMENTO'!I25+'IEPS ESTIMACIONES'!I25</f>
        <v>129776.09979192067</v>
      </c>
      <c r="J23" s="702">
        <f>'IEPS INCREMENTO'!J25+'IEPS ESTIMACIONES'!J25</f>
        <v>134126.10548475618</v>
      </c>
      <c r="K23" s="702">
        <f>'IEPS INCREMENTO'!K25+'IEPS ESTIMACIONES'!K25</f>
        <v>173781.76622903947</v>
      </c>
      <c r="L23" s="702">
        <f>'IEPS INCREMENTO'!L25+'IEPS ESTIMACIONES'!L25</f>
        <v>107964.99288984842</v>
      </c>
      <c r="M23" s="702">
        <f>'IEPS INCREMENTO'!M25+'IEPS ESTIMACIONES'!M25</f>
        <v>108813.35175400812</v>
      </c>
      <c r="N23" s="702">
        <f>'IEPS INCREMENTO'!N25+'IEPS ESTIMACIONES'!N25</f>
        <v>124196.70265239564</v>
      </c>
      <c r="O23" s="703">
        <f t="shared" si="0"/>
        <v>1555176.3637499998</v>
      </c>
    </row>
    <row r="24" spans="1:15" ht="12.75" customHeight="1" thickBot="1" x14ac:dyDescent="0.25">
      <c r="A24" s="700" t="s">
        <v>167</v>
      </c>
      <c r="B24" s="713"/>
      <c r="C24" s="702">
        <f>'IEPS INCREMENTO'!C26+'IEPS ESTIMACIONES'!C26</f>
        <v>125506.66706729293</v>
      </c>
      <c r="D24" s="702">
        <f>'IEPS INCREMENTO'!D26+'IEPS ESTIMACIONES'!D26</f>
        <v>175372.90381512052</v>
      </c>
      <c r="E24" s="702">
        <f>'IEPS INCREMENTO'!E26+'IEPS ESTIMACIONES'!E26</f>
        <v>179502.12071922468</v>
      </c>
      <c r="F24" s="702">
        <f>'IEPS INCREMENTO'!F26+'IEPS ESTIMACIONES'!F26</f>
        <v>109374.16229115809</v>
      </c>
      <c r="G24" s="702">
        <f>'IEPS INCREMENTO'!G26+'IEPS ESTIMACIONES'!G26</f>
        <v>132178.74628054703</v>
      </c>
      <c r="H24" s="702">
        <f>'IEPS INCREMENTO'!H26+'IEPS ESTIMACIONES'!H26</f>
        <v>139635.66721931886</v>
      </c>
      <c r="I24" s="702">
        <f>'IEPS INCREMENTO'!I26+'IEPS ESTIMACIONES'!I26</f>
        <v>144247.7127384505</v>
      </c>
      <c r="J24" s="702">
        <f>'IEPS INCREMENTO'!J26+'IEPS ESTIMACIONES'!J26</f>
        <v>149139.67327249175</v>
      </c>
      <c r="K24" s="702">
        <f>'IEPS INCREMENTO'!K26+'IEPS ESTIMACIONES'!K26</f>
        <v>188306.6242810972</v>
      </c>
      <c r="L24" s="702">
        <f>'IEPS INCREMENTO'!L26+'IEPS ESTIMACIONES'!L26</f>
        <v>122161.64798104473</v>
      </c>
      <c r="M24" s="702">
        <f>'IEPS INCREMENTO'!M26+'IEPS ESTIMACIONES'!M26</f>
        <v>122687.50289621622</v>
      </c>
      <c r="N24" s="702">
        <f>'IEPS INCREMENTO'!N26+'IEPS ESTIMACIONES'!N26</f>
        <v>138125.93518803743</v>
      </c>
      <c r="O24" s="703">
        <f t="shared" si="0"/>
        <v>1726239.36375</v>
      </c>
    </row>
    <row r="25" spans="1:15" ht="13.5" thickBot="1" x14ac:dyDescent="0.25">
      <c r="A25" s="705" t="s">
        <v>293</v>
      </c>
      <c r="B25" s="706">
        <f>SUM(B5:B24)</f>
        <v>0</v>
      </c>
      <c r="C25" s="707">
        <f>SUM(C5:C24)</f>
        <v>2625795.3656119602</v>
      </c>
      <c r="D25" s="707">
        <f t="shared" ref="D25:O25" si="1">SUM(D5:D24)</f>
        <v>3683918.375220194</v>
      </c>
      <c r="E25" s="707">
        <f t="shared" si="1"/>
        <v>3711354.5901933066</v>
      </c>
      <c r="F25" s="707">
        <f t="shared" si="1"/>
        <v>2325286.2566395225</v>
      </c>
      <c r="G25" s="707">
        <f t="shared" si="1"/>
        <v>2774865.8148206621</v>
      </c>
      <c r="H25" s="707">
        <f t="shared" si="1"/>
        <v>2929972.1496531935</v>
      </c>
      <c r="I25" s="707">
        <f t="shared" si="1"/>
        <v>3024439.6807596595</v>
      </c>
      <c r="J25" s="707">
        <f t="shared" si="1"/>
        <v>3127502.5525605395</v>
      </c>
      <c r="K25" s="707">
        <f t="shared" si="1"/>
        <v>3906131.117449007</v>
      </c>
      <c r="L25" s="707">
        <f t="shared" si="1"/>
        <v>2580068.1894155587</v>
      </c>
      <c r="M25" s="707">
        <f t="shared" si="1"/>
        <v>2587476.815921511</v>
      </c>
      <c r="N25" s="707">
        <f t="shared" si="1"/>
        <v>2896776.3667548867</v>
      </c>
      <c r="O25" s="707">
        <f t="shared" si="1"/>
        <v>36173587.274999999</v>
      </c>
    </row>
    <row r="26" spans="1:15" hidden="1" x14ac:dyDescent="0.2">
      <c r="A26" s="716" t="s">
        <v>408</v>
      </c>
      <c r="B26" s="716"/>
      <c r="C26" s="717">
        <f>'[2]PRESUPUSTO ESTATAL 2017'!B52</f>
        <v>1521250.4468291907</v>
      </c>
      <c r="D26" s="717">
        <f>'[2]PRESUPUSTO ESTATAL 2017'!C52</f>
        <v>1992155.4322061262</v>
      </c>
      <c r="E26" s="717">
        <f>'[2]PRESUPUSTO ESTATAL 2017'!D52</f>
        <v>1561223.5204092669</v>
      </c>
      <c r="F26" s="717">
        <f>'[2]PRESUPUSTO ESTATAL 2017'!E52</f>
        <v>1709133.4840227321</v>
      </c>
      <c r="G26" s="717">
        <f>'[2]PRESUPUSTO ESTATAL 2017'!F52</f>
        <v>1794276.5472658337</v>
      </c>
      <c r="H26" s="717">
        <f>'[2]PRESUPUSTO ESTATAL 2017'!G52</f>
        <v>1664193.9164477964</v>
      </c>
      <c r="I26" s="717">
        <f>'[2]PRESUPUSTO ESTATAL 2017'!H52</f>
        <v>1722567.8942233375</v>
      </c>
      <c r="J26" s="717">
        <f>'[2]PRESUPUSTO ESTATAL 2017'!I52</f>
        <v>1774773.0179705636</v>
      </c>
      <c r="K26" s="717">
        <f>'[2]PRESUPUSTO ESTATAL 2017'!J52</f>
        <v>1814273.0193366187</v>
      </c>
      <c r="L26" s="717">
        <f>'[2]PRESUPUSTO ESTATAL 2017'!K52</f>
        <v>1772942.0603667807</v>
      </c>
      <c r="M26" s="717">
        <f>'[2]PRESUPUSTO ESTATAL 2017'!L52</f>
        <v>1696337.0334839264</v>
      </c>
      <c r="N26" s="717">
        <f>'[2]PRESUPUSTO ESTATAL 2017'!M52</f>
        <v>1676873.6274378267</v>
      </c>
      <c r="O26" s="717">
        <f>SUM(C26:N26)</f>
        <v>20700000</v>
      </c>
    </row>
    <row r="27" spans="1:15" hidden="1" x14ac:dyDescent="0.2">
      <c r="A27" s="718" t="s">
        <v>409</v>
      </c>
      <c r="B27" s="718"/>
      <c r="C27" s="719">
        <f>C26-C25</f>
        <v>-1104544.9187827695</v>
      </c>
      <c r="D27" s="719">
        <f t="shared" ref="D27:O27" si="2">D26-D25</f>
        <v>-1691762.9430140678</v>
      </c>
      <c r="E27" s="719">
        <f t="shared" si="2"/>
        <v>-2150131.0697840396</v>
      </c>
      <c r="F27" s="719">
        <f t="shared" si="2"/>
        <v>-616152.77261679037</v>
      </c>
      <c r="G27" s="719">
        <f t="shared" si="2"/>
        <v>-980589.26755482843</v>
      </c>
      <c r="H27" s="719">
        <f t="shared" si="2"/>
        <v>-1265778.2332053971</v>
      </c>
      <c r="I27" s="719">
        <f t="shared" si="2"/>
        <v>-1301871.786536322</v>
      </c>
      <c r="J27" s="719">
        <f t="shared" si="2"/>
        <v>-1352729.5345899758</v>
      </c>
      <c r="K27" s="719">
        <f t="shared" si="2"/>
        <v>-2091858.0981123883</v>
      </c>
      <c r="L27" s="719">
        <f t="shared" si="2"/>
        <v>-807126.12904877798</v>
      </c>
      <c r="M27" s="719">
        <f t="shared" si="2"/>
        <v>-891139.7824375846</v>
      </c>
      <c r="N27" s="719">
        <f t="shared" si="2"/>
        <v>-1219902.73931706</v>
      </c>
      <c r="O27" s="719">
        <f t="shared" si="2"/>
        <v>-15473587.274999999</v>
      </c>
    </row>
    <row r="28" spans="1:15" x14ac:dyDescent="0.2">
      <c r="A28" s="709"/>
    </row>
    <row r="29" spans="1:15" x14ac:dyDescent="0.2">
      <c r="A29" s="709" t="s">
        <v>294</v>
      </c>
    </row>
    <row r="32" spans="1:15" x14ac:dyDescent="0.2">
      <c r="C32" s="704"/>
      <c r="D32" s="704"/>
      <c r="E32" s="704"/>
      <c r="F32" s="704"/>
      <c r="G32" s="704"/>
      <c r="H32" s="704"/>
      <c r="I32" s="704"/>
      <c r="J32" s="704"/>
      <c r="K32" s="704"/>
      <c r="L32" s="704"/>
      <c r="M32" s="704"/>
      <c r="N32" s="704"/>
      <c r="O32" s="704"/>
    </row>
    <row r="36" spans="11:11" x14ac:dyDescent="0.2">
      <c r="K36" s="704"/>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4" tint="0.39997558519241921"/>
  </sheetPr>
  <dimension ref="A1:Q26"/>
  <sheetViews>
    <sheetView workbookViewId="0">
      <selection activeCell="U15" sqref="U15"/>
    </sheetView>
  </sheetViews>
  <sheetFormatPr baseColWidth="10" defaultRowHeight="12.75" x14ac:dyDescent="0.2"/>
  <cols>
    <col min="1" max="1" width="16.85546875" style="695" customWidth="1"/>
    <col min="2" max="2" width="9.28515625" style="695" hidden="1" customWidth="1"/>
    <col min="3" max="10" width="7.85546875" style="695" customWidth="1"/>
    <col min="11" max="11" width="9.42578125" style="695" customWidth="1"/>
    <col min="12" max="12" width="7.85546875" style="695" customWidth="1"/>
    <col min="13" max="13" width="9.42578125" style="695" customWidth="1"/>
    <col min="14" max="14" width="8.5703125" style="695" customWidth="1"/>
    <col min="15" max="15" width="8.7109375" style="695" bestFit="1" customWidth="1"/>
    <col min="16" max="16" width="11.7109375" style="695" bestFit="1" customWidth="1"/>
    <col min="17" max="16384" width="11.42578125" style="695"/>
  </cols>
  <sheetData>
    <row r="1" spans="1:16" x14ac:dyDescent="0.2">
      <c r="A1" s="958" t="s">
        <v>431</v>
      </c>
      <c r="B1" s="958"/>
      <c r="C1" s="958"/>
      <c r="D1" s="958"/>
      <c r="E1" s="958"/>
      <c r="F1" s="958"/>
      <c r="G1" s="958"/>
      <c r="H1" s="958"/>
      <c r="I1" s="958"/>
      <c r="J1" s="958"/>
      <c r="K1" s="958"/>
      <c r="L1" s="958"/>
      <c r="M1" s="958"/>
      <c r="N1" s="958"/>
      <c r="O1" s="958"/>
    </row>
    <row r="2" spans="1:16" ht="13.5" thickBot="1" x14ac:dyDescent="0.25"/>
    <row r="3" spans="1:16"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6" ht="12.75" customHeight="1" x14ac:dyDescent="0.2">
      <c r="A4" s="700" t="s">
        <v>287</v>
      </c>
      <c r="B4" s="711"/>
      <c r="C4" s="702">
        <f>IEPSGASINCREMENTO!C7+'IEPSGAS ESTIMACIONES'!C7</f>
        <v>158003.16191889267</v>
      </c>
      <c r="D4" s="702">
        <f>IEPSGASINCREMENTO!D7+'IEPSGAS ESTIMACIONES'!D7</f>
        <v>159173.21571353698</v>
      </c>
      <c r="E4" s="702">
        <f>IEPSGASINCREMENTO!E7+'IEPSGAS ESTIMACIONES'!E7</f>
        <v>154171.52363969112</v>
      </c>
      <c r="F4" s="702">
        <f>IEPSGASINCREMENTO!F7+'IEPSGAS ESTIMACIONES'!F7</f>
        <v>164287.98695899823</v>
      </c>
      <c r="G4" s="702">
        <f>IEPSGASINCREMENTO!G7+'IEPSGAS ESTIMACIONES'!G7</f>
        <v>162362.89788612153</v>
      </c>
      <c r="H4" s="702">
        <f>IEPSGASINCREMENTO!H7+'IEPSGAS ESTIMACIONES'!H7</f>
        <v>167315.45673259062</v>
      </c>
      <c r="I4" s="702">
        <f>IEPSGASINCREMENTO!I7+'IEPSGAS ESTIMACIONES'!I7</f>
        <v>160873.6114335173</v>
      </c>
      <c r="J4" s="702">
        <f>IEPSGASINCREMENTO!J7+'IEPSGAS ESTIMACIONES'!J7</f>
        <v>163183.68391553813</v>
      </c>
      <c r="K4" s="702">
        <f>IEPSGASINCREMENTO!K7+'IEPSGAS ESTIMACIONES'!K7</f>
        <v>159034.06965854272</v>
      </c>
      <c r="L4" s="702">
        <f>IEPSGASINCREMENTO!L7+'IEPSGAS ESTIMACIONES'!L7</f>
        <v>153955.79267953325</v>
      </c>
      <c r="M4" s="702">
        <f>IEPSGASINCREMENTO!M7+'IEPSGAS ESTIMACIONES'!M7</f>
        <v>157126.69362675384</v>
      </c>
      <c r="N4" s="702">
        <f>IEPSGASINCREMENTO!N7+'IEPSGAS ESTIMACIONES'!N7</f>
        <v>146646.55149290251</v>
      </c>
      <c r="O4" s="703">
        <f>SUM(C4:N4)</f>
        <v>1906134.645656619</v>
      </c>
      <c r="P4" s="704"/>
    </row>
    <row r="5" spans="1:16" ht="12.75" customHeight="1" x14ac:dyDescent="0.2">
      <c r="A5" s="700" t="s">
        <v>149</v>
      </c>
      <c r="B5" s="712"/>
      <c r="C5" s="702">
        <f>IEPSGASINCREMENTO!C8+'IEPSGAS ESTIMACIONES'!C8</f>
        <v>65458.589763628042</v>
      </c>
      <c r="D5" s="702">
        <f>IEPSGASINCREMENTO!D8+'IEPSGAS ESTIMACIONES'!D8</f>
        <v>65945.904965347596</v>
      </c>
      <c r="E5" s="702">
        <f>IEPSGASINCREMENTO!E8+'IEPSGAS ESTIMACIONES'!E8</f>
        <v>63519.116616850064</v>
      </c>
      <c r="F5" s="702">
        <f>IEPSGASINCREMENTO!F8+'IEPSGAS ESTIMACIONES'!F8</f>
        <v>67942.281697750092</v>
      </c>
      <c r="G5" s="702">
        <f>IEPSGASINCREMENTO!G8+'IEPSGAS ESTIMACIONES'!G8</f>
        <v>66963.947231574799</v>
      </c>
      <c r="H5" s="702">
        <f>IEPSGASINCREMENTO!H8+'IEPSGAS ESTIMACIONES'!H8</f>
        <v>69178.227965725091</v>
      </c>
      <c r="I5" s="702">
        <f>IEPSGASINCREMENTO!I8+'IEPSGAS ESTIMACIONES'!I8</f>
        <v>66337.005001986079</v>
      </c>
      <c r="J5" s="702">
        <f>IEPSGASINCREMENTO!J8+'IEPSGAS ESTIMACIONES'!J8</f>
        <v>67342.852675681948</v>
      </c>
      <c r="K5" s="702">
        <f>IEPSGASINCREMENTO!K8+'IEPSGAS ESTIMACIONES'!K8</f>
        <v>65680.361947734738</v>
      </c>
      <c r="L5" s="702">
        <f>IEPSGASINCREMENTO!L8+'IEPSGAS ESTIMACIONES'!L8</f>
        <v>63386.587151522326</v>
      </c>
      <c r="M5" s="702">
        <f>IEPSGASINCREMENTO!M8+'IEPSGAS ESTIMACIONES'!M8</f>
        <v>64832.556450389777</v>
      </c>
      <c r="N5" s="702">
        <f>IEPSGASINCREMENTO!N8+'IEPSGAS ESTIMACIONES'!N8</f>
        <v>60972.464779506452</v>
      </c>
      <c r="O5" s="703">
        <f t="shared" ref="O5:O23" si="0">SUM(C5:N5)</f>
        <v>787559.89624769695</v>
      </c>
      <c r="P5" s="704"/>
    </row>
    <row r="6" spans="1:16" ht="12.75" customHeight="1" x14ac:dyDescent="0.2">
      <c r="A6" s="700" t="s">
        <v>150</v>
      </c>
      <c r="B6" s="712"/>
      <c r="C6" s="702">
        <f>IEPSGASINCREMENTO!C9+'IEPSGAS ESTIMACIONES'!C9</f>
        <v>48125.478487627683</v>
      </c>
      <c r="D6" s="702">
        <f>IEPSGASINCREMENTO!D9+'IEPSGAS ESTIMACIONES'!D9</f>
        <v>48484.389989804287</v>
      </c>
      <c r="E6" s="702">
        <f>IEPSGASINCREMENTO!E9+'IEPSGAS ESTIMACIONES'!E9</f>
        <v>46612.839107632455</v>
      </c>
      <c r="F6" s="702">
        <f>IEPSGASINCREMENTO!F9+'IEPSGAS ESTIMACIONES'!F9</f>
        <v>49921.934174082446</v>
      </c>
      <c r="G6" s="702">
        <f>IEPSGASINCREMENTO!G9+'IEPSGAS ESTIMACIONES'!G9</f>
        <v>49158.121332023744</v>
      </c>
      <c r="H6" s="702">
        <f>IEPSGASINCREMENTO!H9+'IEPSGAS ESTIMACIONES'!H9</f>
        <v>50826.101547345061</v>
      </c>
      <c r="I6" s="702">
        <f>IEPSGASINCREMENTO!I9+'IEPSGAS ESTIMACIONES'!I9</f>
        <v>48694.739060591892</v>
      </c>
      <c r="J6" s="702">
        <f>IEPSGASINCREMENTO!J9+'IEPSGAS ESTIMACIONES'!J9</f>
        <v>49446.268280952019</v>
      </c>
      <c r="K6" s="702">
        <f>IEPSGASINCREMENTO!K9+'IEPSGAS ESTIMACIONES'!K9</f>
        <v>48237.949047840186</v>
      </c>
      <c r="L6" s="702">
        <f>IEPSGASINCREMENTO!L9+'IEPSGAS ESTIMACIONES'!L9</f>
        <v>46504.772160810142</v>
      </c>
      <c r="M6" s="702">
        <f>IEPSGASINCREMENTO!M9+'IEPSGAS ESTIMACIONES'!M9</f>
        <v>47600.448032537344</v>
      </c>
      <c r="N6" s="702">
        <f>IEPSGASINCREMENTO!N9+'IEPSGAS ESTIMACIONES'!N9</f>
        <v>44881.147230831746</v>
      </c>
      <c r="O6" s="703">
        <f t="shared" si="0"/>
        <v>578494.18845207908</v>
      </c>
      <c r="P6" s="704"/>
    </row>
    <row r="7" spans="1:16" ht="12.75" customHeight="1" x14ac:dyDescent="0.2">
      <c r="A7" s="700" t="s">
        <v>288</v>
      </c>
      <c r="B7" s="712"/>
      <c r="C7" s="702">
        <f>IEPSGASINCREMENTO!C10+'IEPSGAS ESTIMACIONES'!C10</f>
        <v>461516.49954258977</v>
      </c>
      <c r="D7" s="702">
        <f>IEPSGASINCREMENTO!D10+'IEPSGAS ESTIMACIONES'!D10</f>
        <v>465148.47126934107</v>
      </c>
      <c r="E7" s="702">
        <f>IEPSGASINCREMENTO!E10+'IEPSGAS ESTIMACIONES'!E10</f>
        <v>421049.98750199331</v>
      </c>
      <c r="F7" s="702">
        <f>IEPSGASINCREMENTO!F10+'IEPSGAS ESTIMACIONES'!F10</f>
        <v>469894.03767144686</v>
      </c>
      <c r="G7" s="702">
        <f>IEPSGASINCREMENTO!G10+'IEPSGAS ESTIMACIONES'!G10</f>
        <v>449238.12855146552</v>
      </c>
      <c r="H7" s="702">
        <f>IEPSGASINCREMENTO!H10+'IEPSGAS ESTIMACIONES'!H10</f>
        <v>477215.97163923073</v>
      </c>
      <c r="I7" s="702">
        <f>IEPSGASINCREMENTO!I10+'IEPSGAS ESTIMACIONES'!I10</f>
        <v>444060.62977539864</v>
      </c>
      <c r="J7" s="702">
        <f>IEPSGASINCREMENTO!J10+'IEPSGAS ESTIMACIONES'!J10</f>
        <v>454867.12775422557</v>
      </c>
      <c r="K7" s="702">
        <f>IEPSGASINCREMENTO!K10+'IEPSGAS ESTIMACIONES'!K10</f>
        <v>447455.79918356985</v>
      </c>
      <c r="L7" s="702">
        <f>IEPSGASINCREMENTO!L10+'IEPSGAS ESTIMACIONES'!L10</f>
        <v>416831.58916406828</v>
      </c>
      <c r="M7" s="702">
        <f>IEPSGASINCREMENTO!M10+'IEPSGAS ESTIMACIONES'!M10</f>
        <v>437094.71407056204</v>
      </c>
      <c r="N7" s="702">
        <f>IEPSGASINCREMENTO!N10+'IEPSGAS ESTIMACIONES'!N10</f>
        <v>446534.63989518961</v>
      </c>
      <c r="O7" s="703">
        <f t="shared" si="0"/>
        <v>5390907.5960190808</v>
      </c>
      <c r="P7" s="704"/>
    </row>
    <row r="8" spans="1:16" ht="12.75" customHeight="1" x14ac:dyDescent="0.2">
      <c r="A8" s="700" t="s">
        <v>152</v>
      </c>
      <c r="B8" s="712"/>
      <c r="C8" s="702">
        <f>IEPSGASINCREMENTO!C11+'IEPSGAS ESTIMACIONES'!C11</f>
        <v>297283.44680235273</v>
      </c>
      <c r="D8" s="702">
        <f>IEPSGASINCREMENTO!D11+'IEPSGAS ESTIMACIONES'!D11</f>
        <v>299512.54818395601</v>
      </c>
      <c r="E8" s="702">
        <f>IEPSGASINCREMENTO!E11+'IEPSGAS ESTIMACIONES'!E11</f>
        <v>286298.6536621541</v>
      </c>
      <c r="F8" s="702">
        <f>IEPSGASINCREMENTO!F11+'IEPSGAS ESTIMACIONES'!F11</f>
        <v>307821.2383964748</v>
      </c>
      <c r="G8" s="702">
        <f>IEPSGASINCREMENTO!G11+'IEPSGAS ESTIMACIONES'!G11</f>
        <v>302260.3827585337</v>
      </c>
      <c r="H8" s="702">
        <f>IEPSGASINCREMENTO!H11+'IEPSGAS ESTIMACIONES'!H11</f>
        <v>313321.25537628366</v>
      </c>
      <c r="I8" s="702">
        <f>IEPSGASINCREMENTO!I11+'IEPSGAS ESTIMACIONES'!I11</f>
        <v>299351.57617467543</v>
      </c>
      <c r="J8" s="702">
        <f>IEPSGASINCREMENTO!J11+'IEPSGAS ESTIMACIONES'!J11</f>
        <v>304221.46739004867</v>
      </c>
      <c r="K8" s="702">
        <f>IEPSGASINCREMENTO!K11+'IEPSGAS ESTIMACIONES'!K11</f>
        <v>297021.330310071</v>
      </c>
      <c r="L8" s="702">
        <f>IEPSGASINCREMENTO!L11+'IEPSGAS ESTIMACIONES'!L11</f>
        <v>285429.97519951296</v>
      </c>
      <c r="M8" s="702">
        <f>IEPSGASINCREMENTO!M11+'IEPSGAS ESTIMACIONES'!M11</f>
        <v>292814.85745173017</v>
      </c>
      <c r="N8" s="702">
        <f>IEPSGASINCREMENTO!N11+'IEPSGAS ESTIMACIONES'!N11</f>
        <v>278261.92511201667</v>
      </c>
      <c r="O8" s="703">
        <f t="shared" si="0"/>
        <v>3563598.6568178097</v>
      </c>
      <c r="P8" s="704"/>
    </row>
    <row r="9" spans="1:16" ht="12.75" customHeight="1" x14ac:dyDescent="0.2">
      <c r="A9" s="700" t="s">
        <v>289</v>
      </c>
      <c r="B9" s="712"/>
      <c r="C9" s="702">
        <f>IEPSGASINCREMENTO!C12+'IEPSGAS ESTIMACIONES'!C12</f>
        <v>152123.16341179315</v>
      </c>
      <c r="D9" s="702">
        <f>IEPSGASINCREMENTO!D12+'IEPSGAS ESTIMACIONES'!D12</f>
        <v>153283.91297864259</v>
      </c>
      <c r="E9" s="702">
        <f>IEPSGASINCREMENTO!E12+'IEPSGAS ESTIMACIONES'!E12</f>
        <v>143757.45375581307</v>
      </c>
      <c r="F9" s="702">
        <f>IEPSGASINCREMENTO!F12+'IEPSGAS ESTIMACIONES'!F12</f>
        <v>156579.77771525295</v>
      </c>
      <c r="G9" s="702">
        <f>IEPSGASINCREMENTO!G12+'IEPSGAS ESTIMACIONES'!G12</f>
        <v>152324.80390441854</v>
      </c>
      <c r="H9" s="702">
        <f>IEPSGASINCREMENTO!H12+'IEPSGAS ESTIMACIONES'!H12</f>
        <v>159251.58349912107</v>
      </c>
      <c r="I9" s="702">
        <f>IEPSGASINCREMENTO!I12+'IEPSGAS ESTIMACIONES'!I12</f>
        <v>150758.76267360966</v>
      </c>
      <c r="J9" s="702">
        <f>IEPSGASINCREMENTO!J12+'IEPSGAS ESTIMACIONES'!J12</f>
        <v>153631.28906512342</v>
      </c>
      <c r="K9" s="702">
        <f>IEPSGASINCREMENTO!K12+'IEPSGAS ESTIMACIONES'!K12</f>
        <v>150388.43759153117</v>
      </c>
      <c r="L9" s="702">
        <f>IEPSGASINCREMENTO!L12+'IEPSGAS ESTIMACIONES'!L12</f>
        <v>142976.5195940999</v>
      </c>
      <c r="M9" s="702">
        <f>IEPSGASINCREMENTO!M12+'IEPSGAS ESTIMACIONES'!M12</f>
        <v>147786.86913485371</v>
      </c>
      <c r="N9" s="702">
        <f>IEPSGASINCREMENTO!N12+'IEPSGAS ESTIMACIONES'!N12</f>
        <v>144095.0727897188</v>
      </c>
      <c r="O9" s="703">
        <f t="shared" si="0"/>
        <v>1806957.6461139782</v>
      </c>
      <c r="P9" s="704"/>
    </row>
    <row r="10" spans="1:16" ht="12.75" customHeight="1" x14ac:dyDescent="0.2">
      <c r="A10" s="700" t="s">
        <v>154</v>
      </c>
      <c r="B10" s="712"/>
      <c r="C10" s="702">
        <f>IEPSGASINCREMENTO!C13+'IEPSGAS ESTIMACIONES'!C13</f>
        <v>49732.15358347883</v>
      </c>
      <c r="D10" s="702">
        <f>IEPSGASINCREMENTO!D13+'IEPSGAS ESTIMACIONES'!D13</f>
        <v>50104.955027616947</v>
      </c>
      <c r="E10" s="702">
        <f>IEPSGASINCREMENTO!E13+'IEPSGAS ESTIMACIONES'!E13</f>
        <v>47908.450194461497</v>
      </c>
      <c r="F10" s="702">
        <f>IEPSGASINCREMENTO!F13+'IEPSGAS ESTIMACIONES'!F13</f>
        <v>51499.754998811353</v>
      </c>
      <c r="G10" s="702">
        <f>IEPSGASINCREMENTO!G13+'IEPSGAS ESTIMACIONES'!G13</f>
        <v>50576.639082730719</v>
      </c>
      <c r="H10" s="702">
        <f>IEPSGASINCREMENTO!H13+'IEPSGAS ESTIMACIONES'!H13</f>
        <v>52420.569246103027</v>
      </c>
      <c r="I10" s="702">
        <f>IEPSGASINCREMENTO!I13+'IEPSGAS ESTIMACIONES'!I13</f>
        <v>50090.422339830024</v>
      </c>
      <c r="J10" s="702">
        <f>IEPSGASINCREMENTO!J13+'IEPSGAS ESTIMACIONES'!J13</f>
        <v>50903.168846203276</v>
      </c>
      <c r="K10" s="702">
        <f>IEPSGASINCREMENTO!K13+'IEPSGAS ESTIMACIONES'!K13</f>
        <v>49696.426843734676</v>
      </c>
      <c r="L10" s="702">
        <f>IEPSGASINCREMENTO!L13+'IEPSGAS ESTIMACIONES'!L13</f>
        <v>47764.837330455637</v>
      </c>
      <c r="M10" s="702">
        <f>IEPSGASINCREMENTO!M13+'IEPSGAS ESTIMACIONES'!M13</f>
        <v>48995.010427735906</v>
      </c>
      <c r="N10" s="702">
        <f>IEPSGASINCREMENTO!N13+'IEPSGAS ESTIMACIONES'!N13</f>
        <v>46541.414092921143</v>
      </c>
      <c r="O10" s="703">
        <f t="shared" si="0"/>
        <v>596233.80201408314</v>
      </c>
      <c r="P10" s="704"/>
    </row>
    <row r="11" spans="1:16" ht="12.75" customHeight="1" x14ac:dyDescent="0.2">
      <c r="A11" s="700" t="s">
        <v>155</v>
      </c>
      <c r="B11" s="712"/>
      <c r="C11" s="702">
        <f>IEPSGASINCREMENTO!C14+'IEPSGAS ESTIMACIONES'!C14</f>
        <v>119587.20758981175</v>
      </c>
      <c r="D11" s="702">
        <f>IEPSGASINCREMENTO!D14+'IEPSGAS ESTIMACIONES'!D14</f>
        <v>120478.89904626022</v>
      </c>
      <c r="E11" s="702">
        <f>IEPSGASINCREMENTO!E14+'IEPSGAS ESTIMACIONES'!E14</f>
        <v>115851.56444765819</v>
      </c>
      <c r="F11" s="702">
        <f>IEPSGASINCREMENTO!F14+'IEPSGAS ESTIMACIONES'!F14</f>
        <v>124059.1101903736</v>
      </c>
      <c r="G11" s="702">
        <f>IEPSGASINCREMENTO!G14+'IEPSGAS ESTIMACIONES'!G14</f>
        <v>122172.98127823528</v>
      </c>
      <c r="H11" s="702">
        <f>IEPSGASINCREMENTO!H14+'IEPSGAS ESTIMACIONES'!H14</f>
        <v>126307.08092673833</v>
      </c>
      <c r="I11" s="702">
        <f>IEPSGASINCREMENTO!I14+'IEPSGAS ESTIMACIONES'!I14</f>
        <v>121022.17416028492</v>
      </c>
      <c r="J11" s="702">
        <f>IEPSGASINCREMENTO!J14+'IEPSGAS ESTIMACIONES'!J14</f>
        <v>122886.44660871149</v>
      </c>
      <c r="K11" s="702">
        <f>IEPSGASINCREMENTO!K14+'IEPSGAS ESTIMACIONES'!K14</f>
        <v>119880.16949595929</v>
      </c>
      <c r="L11" s="702">
        <f>IEPSGASINCREMENTO!L14+'IEPSGAS ESTIMACIONES'!L14</f>
        <v>115585.86242473146</v>
      </c>
      <c r="M11" s="702">
        <f>IEPSGASINCREMENTO!M14+'IEPSGAS ESTIMACIONES'!M14</f>
        <v>118299.82343410715</v>
      </c>
      <c r="N11" s="702">
        <f>IEPSGASINCREMENTO!N14+'IEPSGAS ESTIMACIONES'!N14</f>
        <v>111510.98854304329</v>
      </c>
      <c r="O11" s="703">
        <f t="shared" si="0"/>
        <v>1437642.3081459152</v>
      </c>
      <c r="P11" s="704"/>
    </row>
    <row r="12" spans="1:16" ht="12.75" customHeight="1" x14ac:dyDescent="0.2">
      <c r="A12" s="700" t="s">
        <v>156</v>
      </c>
      <c r="B12" s="712"/>
      <c r="C12" s="702">
        <f>IEPSGASINCREMENTO!C15+'IEPSGAS ESTIMACIONES'!C15</f>
        <v>74889.163272332866</v>
      </c>
      <c r="D12" s="702">
        <f>IEPSGASINCREMENTO!D15+'IEPSGAS ESTIMACIONES'!D15</f>
        <v>75448.392320033046</v>
      </c>
      <c r="E12" s="702">
        <f>IEPSGASINCREMENTO!E15+'IEPSGAS ESTIMACIONES'!E15</f>
        <v>72437.15542032673</v>
      </c>
      <c r="F12" s="702">
        <f>IEPSGASINCREMENTO!F15+'IEPSGAS ESTIMACIONES'!F15</f>
        <v>77651.207191460606</v>
      </c>
      <c r="G12" s="702">
        <f>IEPSGASINCREMENTO!G15+'IEPSGAS ESTIMACIONES'!G15</f>
        <v>76412.216667871238</v>
      </c>
      <c r="H12" s="702">
        <f>IEPSGASINCREMENTO!H15+'IEPSGAS ESTIMACIONES'!H15</f>
        <v>79053.102714693508</v>
      </c>
      <c r="I12" s="702">
        <f>IEPSGASINCREMENTO!I15+'IEPSGAS ESTIMACIONES'!I15</f>
        <v>75688.362686004708</v>
      </c>
      <c r="J12" s="702">
        <f>IEPSGASINCREMENTO!J15+'IEPSGAS ESTIMACIONES'!J15</f>
        <v>76871.443816500483</v>
      </c>
      <c r="K12" s="702">
        <f>IEPSGASINCREMENTO!K15+'IEPSGAS ESTIMACIONES'!K15</f>
        <v>75006.940718951941</v>
      </c>
      <c r="L12" s="702">
        <f>IEPSGASINCREMENTO!L15+'IEPSGAS ESTIMACIONES'!L15</f>
        <v>72256.958839315426</v>
      </c>
      <c r="M12" s="702">
        <f>IEPSGASINCREMENTO!M15+'IEPSGAS ESTIMACIONES'!M15</f>
        <v>73998.851071968063</v>
      </c>
      <c r="N12" s="702">
        <f>IEPSGASINCREMENTO!N15+'IEPSGAS ESTIMACIONES'!N15</f>
        <v>69901.574349317292</v>
      </c>
      <c r="O12" s="703">
        <f t="shared" si="0"/>
        <v>899615.36906877602</v>
      </c>
      <c r="P12" s="704"/>
    </row>
    <row r="13" spans="1:16" ht="12.75" customHeight="1" x14ac:dyDescent="0.2">
      <c r="A13" s="700" t="s">
        <v>157</v>
      </c>
      <c r="B13" s="712"/>
      <c r="C13" s="702">
        <f>IEPSGASINCREMENTO!C16+'IEPSGAS ESTIMACIONES'!C16</f>
        <v>56745.24320938866</v>
      </c>
      <c r="D13" s="702">
        <f>IEPSGASINCREMENTO!D16+'IEPSGAS ESTIMACIONES'!D16</f>
        <v>57170.212089921333</v>
      </c>
      <c r="E13" s="702">
        <f>IEPSGASINCREMENTO!E16+'IEPSGAS ESTIMACIONES'!E16</f>
        <v>54719.546446642889</v>
      </c>
      <c r="F13" s="702">
        <f>IEPSGASINCREMENTO!F16+'IEPSGAS ESTIMACIONES'!F16</f>
        <v>58780.91836396898</v>
      </c>
      <c r="G13" s="702">
        <f>IEPSGASINCREMENTO!G16+'IEPSGAS ESTIMACIONES'!G16</f>
        <v>57755.962941433645</v>
      </c>
      <c r="H13" s="702">
        <f>IEPSGASINCREMENTO!H16+'IEPSGAS ESTIMACIONES'!H16</f>
        <v>59834.450419482164</v>
      </c>
      <c r="I13" s="702">
        <f>IEPSGASINCREMENTO!I16+'IEPSGAS ESTIMACIONES'!I16</f>
        <v>57202.740841031067</v>
      </c>
      <c r="J13" s="702">
        <f>IEPSGASINCREMENTO!J16+'IEPSGAS ESTIMACIONES'!J16</f>
        <v>58122.447829746132</v>
      </c>
      <c r="K13" s="702">
        <f>IEPSGASINCREMENTO!K16+'IEPSGAS ESTIMACIONES'!K16</f>
        <v>56736.657569553645</v>
      </c>
      <c r="L13" s="702">
        <f>IEPSGASINCREMENTO!L16+'IEPSGAS ESTIMACIONES'!L16</f>
        <v>54562.445284829759</v>
      </c>
      <c r="M13" s="702">
        <f>IEPSGASINCREMENTO!M16+'IEPSGAS ESTIMACIONES'!M16</f>
        <v>55945.357697587664</v>
      </c>
      <c r="N13" s="702">
        <f>IEPSGASINCREMENTO!N16+'IEPSGAS ESTIMACIONES'!N16</f>
        <v>53070.267788921046</v>
      </c>
      <c r="O13" s="703">
        <f t="shared" si="0"/>
        <v>680646.25048250693</v>
      </c>
      <c r="P13" s="704"/>
    </row>
    <row r="14" spans="1:16" ht="12.75" customHeight="1" x14ac:dyDescent="0.2">
      <c r="A14" s="700" t="s">
        <v>158</v>
      </c>
      <c r="B14" s="712"/>
      <c r="C14" s="702">
        <f>IEPSGASINCREMENTO!C17+'IEPSGAS ESTIMACIONES'!C17</f>
        <v>145752.82676427998</v>
      </c>
      <c r="D14" s="702">
        <f>IEPSGASINCREMENTO!D17+'IEPSGAS ESTIMACIONES'!D17</f>
        <v>146829.48754779249</v>
      </c>
      <c r="E14" s="702">
        <f>IEPSGASINCREMENTO!E17+'IEPSGAS ESTIMACIONES'!E17</f>
        <v>142583.79936821543</v>
      </c>
      <c r="F14" s="702">
        <f>IEPSGASINCREMENTO!F17+'IEPSGAS ESTIMACIONES'!F17</f>
        <v>151674.99034096661</v>
      </c>
      <c r="G14" s="702">
        <f>IEPSGASINCREMENTO!G17+'IEPSGAS ESTIMACIONES'!G17</f>
        <v>150086.86477377423</v>
      </c>
      <c r="H14" s="702">
        <f>IEPSGASINCREMENTO!H17+'IEPSGAS ESTIMACIONES'!H17</f>
        <v>154486.72681937757</v>
      </c>
      <c r="I14" s="702">
        <f>IEPSGASINCREMENTO!I17+'IEPSGAS ESTIMACIONES'!I17</f>
        <v>148723.37722110859</v>
      </c>
      <c r="J14" s="702">
        <f>IEPSGASINCREMENTO!J17+'IEPSGAS ESTIMACIONES'!J17</f>
        <v>150803.66297348967</v>
      </c>
      <c r="K14" s="702">
        <f>IEPSGASINCREMENTO!K17+'IEPSGAS ESTIMACIONES'!K17</f>
        <v>146916.97362572429</v>
      </c>
      <c r="L14" s="702">
        <f>IEPSGASINCREMENTO!L17+'IEPSGAS ESTIMACIONES'!L17</f>
        <v>142429.59919506795</v>
      </c>
      <c r="M14" s="702">
        <f>IEPSGASINCREMENTO!M17+'IEPSGAS ESTIMACIONES'!M17</f>
        <v>145217.28792884928</v>
      </c>
      <c r="N14" s="702">
        <f>IEPSGASINCREMENTO!N17+'IEPSGAS ESTIMACIONES'!N17</f>
        <v>135049.59051396593</v>
      </c>
      <c r="O14" s="703">
        <f t="shared" si="0"/>
        <v>1760555.1870726119</v>
      </c>
      <c r="P14" s="704"/>
    </row>
    <row r="15" spans="1:16" ht="12.75" customHeight="1" x14ac:dyDescent="0.2">
      <c r="A15" s="700" t="s">
        <v>159</v>
      </c>
      <c r="B15" s="712"/>
      <c r="C15" s="702">
        <f>IEPSGASINCREMENTO!C18+'IEPSGAS ESTIMACIONES'!C18</f>
        <v>98523.675122028711</v>
      </c>
      <c r="D15" s="702">
        <f>IEPSGASINCREMENTO!D18+'IEPSGAS ESTIMACIONES'!D18</f>
        <v>99260.947188703372</v>
      </c>
      <c r="E15" s="702">
        <f>IEPSGASINCREMENTO!E18+'IEPSGAS ESTIMACIONES'!E18</f>
        <v>95085.552011219406</v>
      </c>
      <c r="F15" s="702">
        <f>IEPSGASINCREMENTO!F18+'IEPSGAS ESTIMACIONES'!F18</f>
        <v>102085.03345488779</v>
      </c>
      <c r="G15" s="702">
        <f>IEPSGASINCREMENTO!G18+'IEPSGAS ESTIMACIONES'!G18</f>
        <v>100346.01838283156</v>
      </c>
      <c r="H15" s="702">
        <f>IEPSGASINCREMENTO!H18+'IEPSGAS ESTIMACIONES'!H18</f>
        <v>103918.32776493867</v>
      </c>
      <c r="I15" s="702">
        <f>IEPSGASINCREMENTO!I18+'IEPSGAS ESTIMACIONES'!I18</f>
        <v>99387.721322026831</v>
      </c>
      <c r="J15" s="702">
        <f>IEPSGASINCREMENTO!J18+'IEPSGAS ESTIMACIONES'!J18</f>
        <v>100973.60732078303</v>
      </c>
      <c r="K15" s="702">
        <f>IEPSGASINCREMENTO!K18+'IEPSGAS ESTIMACIONES'!K18</f>
        <v>98554.828998593046</v>
      </c>
      <c r="L15" s="702">
        <f>IEPSGASINCREMENTO!L18+'IEPSGAS ESTIMACIONES'!L18</f>
        <v>94822.467087724421</v>
      </c>
      <c r="M15" s="702">
        <f>IEPSGASINCREMENTO!M18+'IEPSGAS ESTIMACIONES'!M18</f>
        <v>97193.861105965989</v>
      </c>
      <c r="N15" s="702">
        <f>IEPSGASINCREMENTO!N18+'IEPSGAS ESTIMACIONES'!N18</f>
        <v>92093.938085297297</v>
      </c>
      <c r="O15" s="703">
        <f t="shared" si="0"/>
        <v>1182245.9778450001</v>
      </c>
      <c r="P15" s="704"/>
    </row>
    <row r="16" spans="1:16" ht="12.75" customHeight="1" x14ac:dyDescent="0.2">
      <c r="A16" s="700" t="s">
        <v>160</v>
      </c>
      <c r="B16" s="712"/>
      <c r="C16" s="702">
        <f>IEPSGASINCREMENTO!C19+'IEPSGAS ESTIMACIONES'!C19</f>
        <v>175769.49091383175</v>
      </c>
      <c r="D16" s="702">
        <f>IEPSGASINCREMENTO!D19+'IEPSGAS ESTIMACIONES'!D19</f>
        <v>177083.96048798432</v>
      </c>
      <c r="E16" s="702">
        <f>IEPSGASINCREMENTO!E19+'IEPSGAS ESTIMACIONES'!E19</f>
        <v>169751.61420175934</v>
      </c>
      <c r="F16" s="702">
        <f>IEPSGASINCREMENTO!F19+'IEPSGAS ESTIMACIONES'!F19</f>
        <v>182162.56580597573</v>
      </c>
      <c r="G16" s="702">
        <f>IEPSGASINCREMENTO!G19+'IEPSGAS ESTIMACIONES'!G19</f>
        <v>179119.59513485848</v>
      </c>
      <c r="H16" s="702">
        <f>IEPSGASINCREMENTO!H19+'IEPSGAS ESTIMACIONES'!H19</f>
        <v>185439.24287550888</v>
      </c>
      <c r="I16" s="702">
        <f>IEPSGASINCREMENTO!I19+'IEPSGAS ESTIMACIONES'!I19</f>
        <v>177413.23577857245</v>
      </c>
      <c r="J16" s="702">
        <f>IEPSGASINCREMENTO!J19+'IEPSGAS ESTIMACIONES'!J19</f>
        <v>180226.44633056334</v>
      </c>
      <c r="K16" s="702">
        <f>IEPSGASINCREMENTO!K19+'IEPSGAS ESTIMACIONES'!K19</f>
        <v>175892.62930066464</v>
      </c>
      <c r="L16" s="702">
        <f>IEPSGASINCREMENTO!L19+'IEPSGAS ESTIMACIONES'!L19</f>
        <v>169296.46187523025</v>
      </c>
      <c r="M16" s="702">
        <f>IEPSGASINCREMENTO!M19+'IEPSGAS ESTIMACIONES'!M19</f>
        <v>173483.57222442765</v>
      </c>
      <c r="N16" s="702">
        <f>IEPSGASINCREMENTO!N19+'IEPSGAS ESTIMACIONES'!N19</f>
        <v>164226.64407634322</v>
      </c>
      <c r="O16" s="703">
        <f t="shared" si="0"/>
        <v>2109865.4590057204</v>
      </c>
      <c r="P16" s="704"/>
    </row>
    <row r="17" spans="1:17" ht="12.75" customHeight="1" x14ac:dyDescent="0.2">
      <c r="A17" s="700" t="s">
        <v>290</v>
      </c>
      <c r="B17" s="712"/>
      <c r="C17" s="702">
        <f>IEPSGASINCREMENTO!C20+'IEPSGAS ESTIMACIONES'!C20</f>
        <v>32244.572900163199</v>
      </c>
      <c r="D17" s="702">
        <f>IEPSGASINCREMENTO!D20+'IEPSGAS ESTIMACIONES'!D20</f>
        <v>32482.755758432409</v>
      </c>
      <c r="E17" s="702">
        <f>IEPSGASINCREMENTO!E20+'IEPSGAS ESTIMACIONES'!E20</f>
        <v>31544.097903691505</v>
      </c>
      <c r="F17" s="702">
        <f>IEPSGASINCREMENTO!F20+'IEPSGAS ESTIMACIONES'!F20</f>
        <v>33554.925127905692</v>
      </c>
      <c r="G17" s="702">
        <f>IEPSGASINCREMENTO!G20+'IEPSGAS ESTIMACIONES'!G20</f>
        <v>33203.896716739029</v>
      </c>
      <c r="H17" s="702">
        <f>IEPSGASINCREMENTO!H20+'IEPSGAS ESTIMACIONES'!H20</f>
        <v>34176.990593056005</v>
      </c>
      <c r="I17" s="702">
        <f>IEPSGASINCREMENTO!I20+'IEPSGAS ESTIMACIONES'!I20</f>
        <v>32902.272416213636</v>
      </c>
      <c r="J17" s="702">
        <f>IEPSGASINCREMENTO!J20+'IEPSGAS ESTIMACIONES'!J20</f>
        <v>33362.405945649196</v>
      </c>
      <c r="K17" s="702">
        <f>IEPSGASINCREMENTO!K20+'IEPSGAS ESTIMACIONES'!K20</f>
        <v>32502.465503916759</v>
      </c>
      <c r="L17" s="702">
        <f>IEPSGASINCREMENTO!L20+'IEPSGAS ESTIMACIONES'!L20</f>
        <v>31510.058315899114</v>
      </c>
      <c r="M17" s="702">
        <f>IEPSGASINCREMENTO!M20+'IEPSGAS ESTIMACIONES'!M20</f>
        <v>32126.546301778541</v>
      </c>
      <c r="N17" s="702">
        <f>IEPSGASINCREMENTO!N20+'IEPSGAS ESTIMACIONES'!N20</f>
        <v>29876.345831047904</v>
      </c>
      <c r="O17" s="703">
        <f t="shared" si="0"/>
        <v>389487.33331449301</v>
      </c>
      <c r="P17" s="704"/>
    </row>
    <row r="18" spans="1:17" ht="12.75" customHeight="1" x14ac:dyDescent="0.2">
      <c r="A18" s="700" t="s">
        <v>291</v>
      </c>
      <c r="B18" s="712"/>
      <c r="C18" s="702">
        <f>IEPSGASINCREMENTO!C21+'IEPSGAS ESTIMACIONES'!C21</f>
        <v>98925.538994396033</v>
      </c>
      <c r="D18" s="702">
        <f>IEPSGASINCREMENTO!D21+'IEPSGAS ESTIMACIONES'!D21</f>
        <v>99658.720048617077</v>
      </c>
      <c r="E18" s="702">
        <f>IEPSGASINCREMENTO!E21+'IEPSGAS ESTIMACIONES'!E21</f>
        <v>96442.941674501766</v>
      </c>
      <c r="F18" s="702">
        <f>IEPSGASINCREMENTO!F21+'IEPSGAS ESTIMACIONES'!F21</f>
        <v>102831.95332735998</v>
      </c>
      <c r="G18" s="702">
        <f>IEPSGASINCREMENTO!G21+'IEPSGAS ESTIMACIONES'!G21</f>
        <v>101583.72092546223</v>
      </c>
      <c r="H18" s="702">
        <f>IEPSGASINCREMENTO!H21+'IEPSGAS ESTIMACIONES'!H21</f>
        <v>104723.10295359092</v>
      </c>
      <c r="I18" s="702">
        <f>IEPSGASINCREMENTO!I21+'IEPSGAS ESTIMACIONES'!I21</f>
        <v>100648.91773019769</v>
      </c>
      <c r="J18" s="702">
        <f>IEPSGASINCREMENTO!J21+'IEPSGAS ESTIMACIONES'!J21</f>
        <v>102106.84377843895</v>
      </c>
      <c r="K18" s="702">
        <f>IEPSGASINCREMENTO!K21+'IEPSGAS ESTIMACIONES'!K21</f>
        <v>99522.227708551873</v>
      </c>
      <c r="L18" s="702">
        <f>IEPSGASINCREMENTO!L21+'IEPSGAS ESTIMACIONES'!L21</f>
        <v>96297.623998612922</v>
      </c>
      <c r="M18" s="702">
        <f>IEPSGASINCREMENTO!M21+'IEPSGAS ESTIMACIONES'!M21</f>
        <v>98314.341869316195</v>
      </c>
      <c r="N18" s="702">
        <f>IEPSGASINCREMENTO!N21+'IEPSGAS ESTIMACIONES'!N21</f>
        <v>91867.137136711375</v>
      </c>
      <c r="O18" s="703">
        <f t="shared" si="0"/>
        <v>1192923.0701457569</v>
      </c>
      <c r="P18" s="704"/>
    </row>
    <row r="19" spans="1:17" ht="12.75" customHeight="1" x14ac:dyDescent="0.2">
      <c r="A19" s="700" t="s">
        <v>292</v>
      </c>
      <c r="B19" s="712"/>
      <c r="C19" s="702">
        <f>IEPSGASINCREMENTO!C22+'IEPSGAS ESTIMACIONES'!C22</f>
        <v>393755.89238314558</v>
      </c>
      <c r="D19" s="702">
        <f>IEPSGASINCREMENTO!D22+'IEPSGAS ESTIMACIONES'!D22</f>
        <v>396696.90504874708</v>
      </c>
      <c r="E19" s="702">
        <f>IEPSGASINCREMENTO!E22+'IEPSGAS ESTIMACIONES'!E22</f>
        <v>380771.96433006652</v>
      </c>
      <c r="F19" s="702">
        <f>IEPSGASINCREMENTO!F22+'IEPSGAS ESTIMACIONES'!F22</f>
        <v>408247.05988672789</v>
      </c>
      <c r="G19" s="702">
        <f>IEPSGASINCREMENTO!G22+'IEPSGAS ESTIMACIONES'!G22</f>
        <v>401685.57597452489</v>
      </c>
      <c r="H19" s="702">
        <f>IEPSGASINCREMENTO!H22+'IEPSGAS ESTIMACIONES'!H22</f>
        <v>415613.25280932849</v>
      </c>
      <c r="I19" s="702">
        <f>IEPSGASINCREMENTO!I22+'IEPSGAS ESTIMACIONES'!I22</f>
        <v>397877.0711397655</v>
      </c>
      <c r="J19" s="702">
        <f>IEPSGASINCREMENTO!J22+'IEPSGAS ESTIMACIONES'!J22</f>
        <v>404110.23893257522</v>
      </c>
      <c r="K19" s="702">
        <f>IEPSGASINCREMENTO!K22+'IEPSGAS ESTIMACIONES'!K22</f>
        <v>394321.70612110081</v>
      </c>
      <c r="L19" s="702">
        <f>IEPSGASINCREMENTO!L22+'IEPSGAS ESTIMACIONES'!L22</f>
        <v>379813.28519331524</v>
      </c>
      <c r="M19" s="702">
        <f>IEPSGASINCREMENTO!M22+'IEPSGAS ESTIMACIONES'!M22</f>
        <v>389006.32925429335</v>
      </c>
      <c r="N19" s="702">
        <f>IEPSGASINCREMENTO!N22+'IEPSGAS ESTIMACIONES'!N22</f>
        <v>367588.84670672065</v>
      </c>
      <c r="O19" s="703">
        <f t="shared" si="0"/>
        <v>4729488.1277803117</v>
      </c>
      <c r="P19" s="704"/>
    </row>
    <row r="20" spans="1:17" ht="12.75" customHeight="1" x14ac:dyDescent="0.2">
      <c r="A20" s="700" t="s">
        <v>164</v>
      </c>
      <c r="B20" s="712"/>
      <c r="C20" s="702">
        <f>IEPSGASINCREMENTO!C23+'IEPSGAS ESTIMACIONES'!C23</f>
        <v>169225.698249257</v>
      </c>
      <c r="D20" s="702">
        <f>IEPSGASINCREMENTO!D23+'IEPSGAS ESTIMACIONES'!D23</f>
        <v>170477.60653589905</v>
      </c>
      <c r="E20" s="702">
        <f>IEPSGASINCREMENTO!E23+'IEPSGAS ESTIMACIONES'!E23</f>
        <v>165292.81853737676</v>
      </c>
      <c r="F20" s="702">
        <f>IEPSGASINCREMENTO!F23+'IEPSGAS ESTIMACIONES'!F23</f>
        <v>176015.18223143648</v>
      </c>
      <c r="G20" s="702">
        <f>IEPSGASINCREMENTO!G23+'IEPSGAS ESTIMACIONES'!G23</f>
        <v>174041.12346011598</v>
      </c>
      <c r="H20" s="702">
        <f>IEPSGASINCREMENTO!H23+'IEPSGAS ESTIMACIONES'!H23</f>
        <v>179266.56539447288</v>
      </c>
      <c r="I20" s="702">
        <f>IEPSGASINCREMENTO!I23+'IEPSGAS ESTIMACIONES'!I23</f>
        <v>172450.88748462795</v>
      </c>
      <c r="J20" s="702">
        <f>IEPSGASINCREMENTO!J23+'IEPSGAS ESTIMACIONES'!J23</f>
        <v>174901.341465773</v>
      </c>
      <c r="K20" s="702">
        <f>IEPSGASINCREMENTO!K23+'IEPSGAS ESTIMACIONES'!K23</f>
        <v>170429.49706647469</v>
      </c>
      <c r="L20" s="702">
        <f>IEPSGASINCREMENTO!L23+'IEPSGAS ESTIMACIONES'!L23</f>
        <v>165082.71363244698</v>
      </c>
      <c r="M20" s="702">
        <f>IEPSGASINCREMENTO!M23+'IEPSGAS ESTIMACIONES'!M23</f>
        <v>168414.60870855919</v>
      </c>
      <c r="N20" s="702">
        <f>IEPSGASINCREMENTO!N23+'IEPSGAS ESTIMACIONES'!N23</f>
        <v>156956.26233550004</v>
      </c>
      <c r="O20" s="703">
        <f t="shared" si="0"/>
        <v>2042554.3051019402</v>
      </c>
      <c r="P20" s="704"/>
    </row>
    <row r="21" spans="1:17" ht="12.75" customHeight="1" x14ac:dyDescent="0.2">
      <c r="A21" s="700" t="s">
        <v>165</v>
      </c>
      <c r="B21" s="714"/>
      <c r="C21" s="702">
        <f>IEPSGASINCREMENTO!C24+'IEPSGAS ESTIMACIONES'!C24</f>
        <v>1601666.9082936733</v>
      </c>
      <c r="D21" s="702">
        <f>IEPSGASINCREMENTO!D24+'IEPSGAS ESTIMACIONES'!D24</f>
        <v>1613711.5359917465</v>
      </c>
      <c r="E21" s="702">
        <f>IEPSGASINCREMENTO!E24+'IEPSGAS ESTIMACIONES'!E24</f>
        <v>1537710.3634869189</v>
      </c>
      <c r="F21" s="702">
        <f>IEPSGASINCREMENTO!F24+'IEPSGAS ESTIMACIONES'!F24</f>
        <v>1656813.5953335939</v>
      </c>
      <c r="G21" s="702">
        <f>IEPSGASINCREMENTO!G24+'IEPSGAS ESTIMACIONES'!G24</f>
        <v>1624401.9778432944</v>
      </c>
      <c r="H21" s="702">
        <f>IEPSGASINCREMENTO!H24+'IEPSGAS ESTIMACIONES'!H24</f>
        <v>1686197.8471734927</v>
      </c>
      <c r="I21" s="702">
        <f>IEPSGASINCREMENTO!I24+'IEPSGAS ESTIMACIONES'!I24</f>
        <v>1608595.3404142766</v>
      </c>
      <c r="J21" s="702">
        <f>IEPSGASINCREMENTO!J24+'IEPSGAS ESTIMACIONES'!J24</f>
        <v>1635494.6596498573</v>
      </c>
      <c r="K21" s="702">
        <f>IEPSGASINCREMENTO!K24+'IEPSGAS ESTIMACIONES'!K24</f>
        <v>1597470.6553665572</v>
      </c>
      <c r="L21" s="702">
        <f>IEPSGASINCREMENTO!L24+'IEPSGAS ESTIMACIONES'!L24</f>
        <v>1532445.0384038694</v>
      </c>
      <c r="M21" s="702">
        <f>IEPSGASINCREMENTO!M24+'IEPSGAS ESTIMACIONES'!M24</f>
        <v>1574026.4359983567</v>
      </c>
      <c r="N21" s="702">
        <f>IEPSGASINCREMENTO!N24+'IEPSGAS ESTIMACIONES'!N24</f>
        <v>1502151.5056712769</v>
      </c>
      <c r="O21" s="703">
        <f t="shared" si="0"/>
        <v>19170685.863626912</v>
      </c>
      <c r="P21" s="704"/>
      <c r="Q21" s="704"/>
    </row>
    <row r="22" spans="1:17" ht="12.75" customHeight="1" x14ac:dyDescent="0.2">
      <c r="A22" s="700" t="s">
        <v>166</v>
      </c>
      <c r="B22" s="714"/>
      <c r="C22" s="702">
        <f>IEPSGASINCREMENTO!C25+'IEPSGAS ESTIMACIONES'!C25</f>
        <v>129733.05102227838</v>
      </c>
      <c r="D22" s="702">
        <f>IEPSGASINCREMENTO!D25+'IEPSGAS ESTIMACIONES'!D25</f>
        <v>130693.40099678151</v>
      </c>
      <c r="E22" s="702">
        <f>IEPSGASINCREMENTO!E25+'IEPSGAS ESTIMACIONES'!E25</f>
        <v>126635.65795584465</v>
      </c>
      <c r="F22" s="702">
        <f>IEPSGASINCREMENTO!F25+'IEPSGAS ESTIMACIONES'!F25</f>
        <v>134909.9846963693</v>
      </c>
      <c r="G22" s="702">
        <f>IEPSGASINCREMENTO!G25+'IEPSGAS ESTIMACIONES'!G25</f>
        <v>133354.33466609681</v>
      </c>
      <c r="H22" s="702">
        <f>IEPSGASINCREMENTO!H25+'IEPSGAS ESTIMACIONES'!H25</f>
        <v>137398.30564011377</v>
      </c>
      <c r="I22" s="702">
        <f>IEPSGASINCREMENTO!I25+'IEPSGAS ESTIMACIONES'!I25</f>
        <v>132132.88905921826</v>
      </c>
      <c r="J22" s="702">
        <f>IEPSGASINCREMENTO!J25+'IEPSGAS ESTIMACIONES'!J25</f>
        <v>134022.89060229436</v>
      </c>
      <c r="K22" s="702">
        <f>IEPSGASINCREMENTO!K25+'IEPSGAS ESTIMACIONES'!K25</f>
        <v>130607.89837134602</v>
      </c>
      <c r="L22" s="702">
        <f>IEPSGASINCREMENTO!L25+'IEPSGAS ESTIMACIONES'!L25</f>
        <v>126464.49316368713</v>
      </c>
      <c r="M22" s="702">
        <f>IEPSGASINCREMENTO!M25+'IEPSGAS ESTIMACIONES'!M25</f>
        <v>129049.75774845442</v>
      </c>
      <c r="N22" s="702">
        <f>IEPSGASINCREMENTO!N25+'IEPSGAS ESTIMACIONES'!N25</f>
        <v>120378.12836981633</v>
      </c>
      <c r="O22" s="703">
        <f t="shared" si="0"/>
        <v>1565380.7922923011</v>
      </c>
      <c r="P22" s="704"/>
      <c r="Q22" s="704"/>
    </row>
    <row r="23" spans="1:17" ht="12.75" customHeight="1" thickBot="1" x14ac:dyDescent="0.25">
      <c r="A23" s="700" t="s">
        <v>167</v>
      </c>
      <c r="B23" s="713"/>
      <c r="C23" s="702">
        <f>IEPSGASINCREMENTO!C26+'IEPSGAS ESTIMACIONES'!C26</f>
        <v>210541.61277504975</v>
      </c>
      <c r="D23" s="702">
        <f>IEPSGASINCREMENTO!D26+'IEPSGAS ESTIMACIONES'!D26</f>
        <v>212140.72881083639</v>
      </c>
      <c r="E23" s="702">
        <f>IEPSGASINCREMENTO!E26+'IEPSGAS ESTIMACIONES'!E26</f>
        <v>199972.07473718171</v>
      </c>
      <c r="F23" s="702">
        <f>IEPSGASINCREMENTO!F26+'IEPSGAS ESTIMACIONES'!F26</f>
        <v>217053.56243615621</v>
      </c>
      <c r="G23" s="702">
        <f>IEPSGASINCREMENTO!G26+'IEPSGAS ESTIMACIONES'!G26</f>
        <v>211682.61048789503</v>
      </c>
      <c r="H23" s="702">
        <f>IEPSGASINCREMENTO!H26+'IEPSGAS ESTIMACIONES'!H26</f>
        <v>220803.81290880707</v>
      </c>
      <c r="I23" s="702">
        <f>IEPSGASINCREMENTO!I26+'IEPSGAS ESTIMACIONES'!I26</f>
        <v>209543.68828706257</v>
      </c>
      <c r="J23" s="702">
        <f>IEPSGASINCREMENTO!J26+'IEPSGAS ESTIMACIONES'!J26</f>
        <v>213379.4568178448</v>
      </c>
      <c r="K23" s="702">
        <f>IEPSGASINCREMENTO!K26+'IEPSGAS ESTIMACIONES'!K26</f>
        <v>208729.00056958129</v>
      </c>
      <c r="L23" s="702">
        <f>IEPSGASINCREMENTO!L26+'IEPSGAS ESTIMACIONES'!L26</f>
        <v>199014.89430526807</v>
      </c>
      <c r="M23" s="702">
        <f>IEPSGASINCREMENTO!M26+'IEPSGAS ESTIMACIONES'!M26</f>
        <v>205293.42746177263</v>
      </c>
      <c r="N23" s="702">
        <f>IEPSGASINCREMENTO!N26+'IEPSGAS ESTIMACIONES'!N26</f>
        <v>198803.75519895245</v>
      </c>
      <c r="O23" s="703">
        <f t="shared" si="0"/>
        <v>2506958.6247964082</v>
      </c>
      <c r="P23" s="704"/>
    </row>
    <row r="24" spans="1:17" ht="13.5" thickBot="1" x14ac:dyDescent="0.25">
      <c r="A24" s="705" t="s">
        <v>293</v>
      </c>
      <c r="B24" s="706">
        <f t="shared" ref="B24:O24" si="1">SUM(B4:B23)</f>
        <v>0</v>
      </c>
      <c r="C24" s="707">
        <f t="shared" si="1"/>
        <v>4539603.375</v>
      </c>
      <c r="D24" s="707">
        <f t="shared" si="1"/>
        <v>4573786.95</v>
      </c>
      <c r="E24" s="707">
        <f t="shared" si="1"/>
        <v>4352117.1749999998</v>
      </c>
      <c r="F24" s="707">
        <f t="shared" si="1"/>
        <v>4693787.0999999996</v>
      </c>
      <c r="G24" s="707">
        <f t="shared" si="1"/>
        <v>4598731.8000000007</v>
      </c>
      <c r="H24" s="707">
        <f t="shared" si="1"/>
        <v>4776747.9749999996</v>
      </c>
      <c r="I24" s="707">
        <f t="shared" si="1"/>
        <v>4553755.4249999998</v>
      </c>
      <c r="J24" s="707">
        <f t="shared" si="1"/>
        <v>4630857.75</v>
      </c>
      <c r="K24" s="707">
        <f t="shared" si="1"/>
        <v>4524086.0249999994</v>
      </c>
      <c r="L24" s="707">
        <f t="shared" si="1"/>
        <v>4336431.9750000015</v>
      </c>
      <c r="M24" s="707">
        <f t="shared" si="1"/>
        <v>4456621.3499999996</v>
      </c>
      <c r="N24" s="707">
        <f t="shared" si="1"/>
        <v>4261408.2</v>
      </c>
      <c r="O24" s="707">
        <f t="shared" si="1"/>
        <v>54297935.100000001</v>
      </c>
    </row>
    <row r="25" spans="1:17" x14ac:dyDescent="0.2">
      <c r="A25" s="708"/>
      <c r="B25" s="708"/>
      <c r="C25" s="708"/>
      <c r="D25" s="708"/>
      <c r="E25" s="708"/>
      <c r="F25" s="708"/>
      <c r="G25" s="708"/>
      <c r="H25" s="708"/>
      <c r="I25" s="708"/>
      <c r="J25" s="708"/>
      <c r="K25" s="708"/>
      <c r="L25" s="708"/>
      <c r="M25" s="708"/>
      <c r="N25" s="708"/>
      <c r="O25" s="715"/>
    </row>
    <row r="26" spans="1:17" x14ac:dyDescent="0.2">
      <c r="A26" s="709" t="s">
        <v>294</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7030A0"/>
  </sheetPr>
  <dimension ref="A1:P26"/>
  <sheetViews>
    <sheetView workbookViewId="0">
      <selection activeCell="C7" sqref="C7"/>
    </sheetView>
  </sheetViews>
  <sheetFormatPr baseColWidth="10" defaultRowHeight="12.75" x14ac:dyDescent="0.2"/>
  <cols>
    <col min="1" max="1" width="15.42578125" style="695" customWidth="1"/>
    <col min="2" max="4" width="7.85546875" style="695" customWidth="1"/>
    <col min="5" max="5" width="8.7109375" style="695" bestFit="1" customWidth="1"/>
    <col min="6" max="9" width="7.85546875" style="695" customWidth="1"/>
    <col min="10" max="10" width="9.42578125" style="695" customWidth="1"/>
    <col min="11" max="11" width="7.85546875" style="695" customWidth="1"/>
    <col min="12" max="12" width="9.140625" style="695" customWidth="1"/>
    <col min="13" max="13" width="8.5703125" style="695" customWidth="1"/>
    <col min="14" max="14" width="8.7109375" style="695" bestFit="1" customWidth="1"/>
    <col min="15" max="16384" width="11.42578125" style="695"/>
  </cols>
  <sheetData>
    <row r="1" spans="1:16" x14ac:dyDescent="0.2">
      <c r="A1" s="958" t="s">
        <v>432</v>
      </c>
      <c r="B1" s="958"/>
      <c r="C1" s="958"/>
      <c r="D1" s="958"/>
      <c r="E1" s="958"/>
      <c r="F1" s="958"/>
      <c r="G1" s="958"/>
      <c r="H1" s="958"/>
      <c r="I1" s="958"/>
      <c r="J1" s="958"/>
      <c r="K1" s="958"/>
      <c r="L1" s="958"/>
      <c r="M1" s="958"/>
      <c r="N1" s="958"/>
    </row>
    <row r="2" spans="1:16" ht="13.5" thickBot="1" x14ac:dyDescent="0.25"/>
    <row r="3" spans="1:16" ht="23.25" thickBot="1" x14ac:dyDescent="0.25">
      <c r="A3" s="696" t="s">
        <v>404</v>
      </c>
      <c r="B3" s="696" t="s">
        <v>1</v>
      </c>
      <c r="C3" s="698" t="s">
        <v>2</v>
      </c>
      <c r="D3" s="696" t="s">
        <v>3</v>
      </c>
      <c r="E3" s="698" t="s">
        <v>4</v>
      </c>
      <c r="F3" s="696" t="s">
        <v>5</v>
      </c>
      <c r="G3" s="696" t="s">
        <v>6</v>
      </c>
      <c r="H3" s="696" t="s">
        <v>7</v>
      </c>
      <c r="I3" s="698" t="s">
        <v>8</v>
      </c>
      <c r="J3" s="696" t="s">
        <v>9</v>
      </c>
      <c r="K3" s="698" t="s">
        <v>10</v>
      </c>
      <c r="L3" s="696" t="s">
        <v>11</v>
      </c>
      <c r="M3" s="696" t="s">
        <v>12</v>
      </c>
      <c r="N3" s="699" t="s">
        <v>170</v>
      </c>
    </row>
    <row r="4" spans="1:16" ht="12.75" customHeight="1" x14ac:dyDescent="0.2">
      <c r="A4" s="700" t="s">
        <v>287</v>
      </c>
      <c r="B4" s="702">
        <f>'FOFIR  INCREMENTO'!C7+'FFOR ESTIMACIONES'!C7</f>
        <v>166059.80182410308</v>
      </c>
      <c r="C4" s="702">
        <f>'FOFIR  INCREMENTO'!D7+'FFOR ESTIMACIONES'!D7</f>
        <v>121496.18625403017</v>
      </c>
      <c r="D4" s="702">
        <f>'FOFIR  INCREMENTO'!E7+'FFOR ESTIMACIONES'!E7</f>
        <v>121496.18625403017</v>
      </c>
      <c r="E4" s="702">
        <f>'FOFIR  INCREMENTO'!F7+'FFOR ESTIMACIONES'!F7</f>
        <v>199748.46075717272</v>
      </c>
      <c r="F4" s="702">
        <f>'FOFIR  INCREMENTO'!G7+'FFOR ESTIMACIONES'!G7</f>
        <v>121496.18625403017</v>
      </c>
      <c r="G4" s="702">
        <f>'FOFIR  INCREMENTO'!H7+'FFOR ESTIMACIONES'!H7</f>
        <v>121496.18625403017</v>
      </c>
      <c r="H4" s="702">
        <f>'FOFIR  INCREMENTO'!I7+'FFOR ESTIMACIONES'!I7</f>
        <v>167908.37469649853</v>
      </c>
      <c r="I4" s="702">
        <f>'FOFIR  INCREMENTO'!J7+'FFOR ESTIMACIONES'!J7</f>
        <v>121496.18625403018</v>
      </c>
      <c r="J4" s="702">
        <f>'FOFIR  INCREMENTO'!K7+'FFOR ESTIMACIONES'!K7</f>
        <v>121496.18625403018</v>
      </c>
      <c r="K4" s="702">
        <f>'FOFIR  INCREMENTO'!L7+'FFOR ESTIMACIONES'!L7</f>
        <v>173140.32783569855</v>
      </c>
      <c r="L4" s="702">
        <f>'FOFIR  INCREMENTO'!M7+'FFOR ESTIMACIONES'!M7</f>
        <v>121496.18625403021</v>
      </c>
      <c r="M4" s="702">
        <f>'FOFIR  INCREMENTO'!N7+'FFOR ESTIMACIONES'!N7</f>
        <v>121496.18625403021</v>
      </c>
      <c r="N4" s="703">
        <f t="shared" ref="N4:N24" si="0">SUM(B4:M4)</f>
        <v>1678826.4551457143</v>
      </c>
      <c r="P4" s="704"/>
    </row>
    <row r="5" spans="1:16" ht="12.75" customHeight="1" x14ac:dyDescent="0.2">
      <c r="A5" s="700" t="s">
        <v>149</v>
      </c>
      <c r="B5" s="702">
        <f>'FOFIR  INCREMENTO'!C8+'FFOR ESTIMACIONES'!C8</f>
        <v>65896.245453383191</v>
      </c>
      <c r="C5" s="702">
        <f>'FOFIR  INCREMENTO'!D8+'FFOR ESTIMACIONES'!D8</f>
        <v>49383.291033517453</v>
      </c>
      <c r="D5" s="702">
        <f>'FOFIR  INCREMENTO'!E8+'FFOR ESTIMACIONES'!E8</f>
        <v>49383.291033517453</v>
      </c>
      <c r="E5" s="702">
        <f>'FOFIR  INCREMENTO'!F8+'FFOR ESTIMACIONES'!F8</f>
        <v>78622.072446546939</v>
      </c>
      <c r="F5" s="702">
        <f>'FOFIR  INCREMENTO'!G8+'FFOR ESTIMACIONES'!G8</f>
        <v>49383.291033517453</v>
      </c>
      <c r="G5" s="702">
        <f>'FOFIR  INCREMENTO'!H8+'FFOR ESTIMACIONES'!H8</f>
        <v>49383.291033517453</v>
      </c>
      <c r="H5" s="702">
        <f>'FOFIR  INCREMENTO'!I8+'FFOR ESTIMACIONES'!I8</f>
        <v>66095.724649424024</v>
      </c>
      <c r="I5" s="702">
        <f>'FOFIR  INCREMENTO'!J8+'FFOR ESTIMACIONES'!J8</f>
        <v>49383.29103351746</v>
      </c>
      <c r="J5" s="702">
        <f>'FOFIR  INCREMENTO'!K8+'FFOR ESTIMACIONES'!K8</f>
        <v>49383.29103351746</v>
      </c>
      <c r="K5" s="702">
        <f>'FOFIR  INCREMENTO'!L8+'FFOR ESTIMACIONES'!L8</f>
        <v>68436.559581981463</v>
      </c>
      <c r="L5" s="702">
        <f>'FOFIR  INCREMENTO'!M8+'FFOR ESTIMACIONES'!M8</f>
        <v>49383.291033517475</v>
      </c>
      <c r="M5" s="702">
        <f>'FOFIR  INCREMENTO'!N8+'FFOR ESTIMACIONES'!N8</f>
        <v>49383.291033517475</v>
      </c>
      <c r="N5" s="703">
        <f t="shared" si="0"/>
        <v>674116.93039947527</v>
      </c>
      <c r="P5" s="704"/>
    </row>
    <row r="6" spans="1:16" ht="12.75" customHeight="1" x14ac:dyDescent="0.2">
      <c r="A6" s="700" t="s">
        <v>150</v>
      </c>
      <c r="B6" s="702">
        <f>'FOFIR  INCREMENTO'!C9+'FFOR ESTIMACIONES'!C9</f>
        <v>47172.166888439977</v>
      </c>
      <c r="C6" s="702">
        <f>'FOFIR  INCREMENTO'!D9+'FFOR ESTIMACIONES'!D9</f>
        <v>36009.252493238819</v>
      </c>
      <c r="D6" s="702">
        <f>'FOFIR  INCREMENTO'!E9+'FFOR ESTIMACIONES'!E9</f>
        <v>36009.252493238819</v>
      </c>
      <c r="E6" s="702">
        <f>'FOFIR  INCREMENTO'!F9+'FFOR ESTIMACIONES'!F9</f>
        <v>55920.919567698598</v>
      </c>
      <c r="F6" s="702">
        <f>'FOFIR  INCREMENTO'!G9+'FFOR ESTIMACIONES'!G9</f>
        <v>36009.252493238819</v>
      </c>
      <c r="G6" s="702">
        <f>'FOFIR  INCREMENTO'!H9+'FFOR ESTIMACIONES'!H9</f>
        <v>36009.252493238819</v>
      </c>
      <c r="H6" s="702">
        <f>'FOFIR  INCREMENTO'!I9+'FFOR ESTIMACIONES'!I9</f>
        <v>47014.845704379681</v>
      </c>
      <c r="I6" s="702">
        <f>'FOFIR  INCREMENTO'!J9+'FFOR ESTIMACIONES'!J9</f>
        <v>36009.252493238826</v>
      </c>
      <c r="J6" s="702">
        <f>'FOFIR  INCREMENTO'!K9+'FFOR ESTIMACIONES'!K9</f>
        <v>36009.252493238826</v>
      </c>
      <c r="K6" s="702">
        <f>'FOFIR  INCREMENTO'!L9+'FFOR ESTIMACIONES'!L9</f>
        <v>48839.278476363965</v>
      </c>
      <c r="L6" s="702">
        <f>'FOFIR  INCREMENTO'!M9+'FFOR ESTIMACIONES'!M9</f>
        <v>36009.252493238833</v>
      </c>
      <c r="M6" s="702">
        <f>'FOFIR  INCREMENTO'!N9+'FFOR ESTIMACIONES'!N9</f>
        <v>36009.252493238833</v>
      </c>
      <c r="N6" s="703">
        <f t="shared" si="0"/>
        <v>487021.23058279284</v>
      </c>
      <c r="P6" s="704"/>
    </row>
    <row r="7" spans="1:16" ht="12.75" customHeight="1" x14ac:dyDescent="0.2">
      <c r="A7" s="700" t="s">
        <v>288</v>
      </c>
      <c r="B7" s="702">
        <f>'FOFIR  INCREMENTO'!C10+'FFOR ESTIMACIONES'!C10</f>
        <v>1617728.7073038896</v>
      </c>
      <c r="C7" s="702">
        <f>'FOFIR  INCREMENTO'!D10+'FFOR ESTIMACIONES'!D10</f>
        <v>430998.70281890297</v>
      </c>
      <c r="D7" s="702">
        <f>'FOFIR  INCREMENTO'!E10+'FFOR ESTIMACIONES'!E10</f>
        <v>430998.70281890297</v>
      </c>
      <c r="E7" s="702">
        <f>'FOFIR  INCREMENTO'!F10+'FFOR ESTIMACIONES'!F10</f>
        <v>2358947.3555349289</v>
      </c>
      <c r="F7" s="702">
        <f>'FOFIR  INCREMENTO'!G10+'FFOR ESTIMACIONES'!G10</f>
        <v>430998.70281890297</v>
      </c>
      <c r="G7" s="702">
        <f>'FOFIR  INCREMENTO'!H10+'FFOR ESTIMACIONES'!H10</f>
        <v>430998.70281890297</v>
      </c>
      <c r="H7" s="702">
        <f>'FOFIR  INCREMENTO'!I10+'FFOR ESTIMACIONES'!I10</f>
        <v>1979019.7665862315</v>
      </c>
      <c r="I7" s="702">
        <f>'FOFIR  INCREMENTO'!J10+'FFOR ESTIMACIONES'!J10</f>
        <v>430998.70281890291</v>
      </c>
      <c r="J7" s="702">
        <f>'FOFIR  INCREMENTO'!K10+'FFOR ESTIMACIONES'!K10</f>
        <v>430998.70281890291</v>
      </c>
      <c r="K7" s="702">
        <f>'FOFIR  INCREMENTO'!L10+'FFOR ESTIMACIONES'!L10</f>
        <v>1859863.6965230324</v>
      </c>
      <c r="L7" s="702">
        <f>'FOFIR  INCREMENTO'!M10+'FFOR ESTIMACIONES'!M10</f>
        <v>430998.70281890279</v>
      </c>
      <c r="M7" s="702">
        <f>'FOFIR  INCREMENTO'!N10+'FFOR ESTIMACIONES'!N10</f>
        <v>430998.70281890279</v>
      </c>
      <c r="N7" s="703">
        <f t="shared" si="0"/>
        <v>11263549.148499306</v>
      </c>
      <c r="P7" s="704"/>
    </row>
    <row r="8" spans="1:16" ht="12.75" customHeight="1" x14ac:dyDescent="0.2">
      <c r="A8" s="700" t="s">
        <v>152</v>
      </c>
      <c r="B8" s="702">
        <f>'FOFIR  INCREMENTO'!C11+'FFOR ESTIMACIONES'!C11</f>
        <v>335898.08821091719</v>
      </c>
      <c r="C8" s="702">
        <f>'FOFIR  INCREMENTO'!D11+'FFOR ESTIMACIONES'!D11</f>
        <v>224560.41676661855</v>
      </c>
      <c r="D8" s="702">
        <f>'FOFIR  INCREMENTO'!E11+'FFOR ESTIMACIONES'!E11</f>
        <v>224560.41676661855</v>
      </c>
      <c r="E8" s="702">
        <f>'FOFIR  INCREMENTO'!F11+'FFOR ESTIMACIONES'!F11</f>
        <v>415674.64870536816</v>
      </c>
      <c r="F8" s="702">
        <f>'FOFIR  INCREMENTO'!G11+'FFOR ESTIMACIONES'!G11</f>
        <v>224560.41676661855</v>
      </c>
      <c r="G8" s="702">
        <f>'FOFIR  INCREMENTO'!H11+'FFOR ESTIMACIONES'!H11</f>
        <v>224560.41676661855</v>
      </c>
      <c r="H8" s="702">
        <f>'FOFIR  INCREMENTO'!I11+'FFOR ESTIMACIONES'!I11</f>
        <v>349305.63097027713</v>
      </c>
      <c r="I8" s="702">
        <f>'FOFIR  INCREMENTO'!J11+'FFOR ESTIMACIONES'!J11</f>
        <v>224560.41676661861</v>
      </c>
      <c r="J8" s="702">
        <f>'FOFIR  INCREMENTO'!K11+'FFOR ESTIMACIONES'!K11</f>
        <v>224560.41676661861</v>
      </c>
      <c r="K8" s="702">
        <f>'FOFIR  INCREMENTO'!L11+'FFOR ESTIMACIONES'!L11</f>
        <v>355097.12288766826</v>
      </c>
      <c r="L8" s="702">
        <f>'FOFIR  INCREMENTO'!M11+'FFOR ESTIMACIONES'!M11</f>
        <v>224560.41676661867</v>
      </c>
      <c r="M8" s="702">
        <f>'FOFIR  INCREMENTO'!N11+'FFOR ESTIMACIONES'!N11</f>
        <v>224560.41676661867</v>
      </c>
      <c r="N8" s="703">
        <f t="shared" si="0"/>
        <v>3252458.8249071799</v>
      </c>
      <c r="P8" s="704"/>
    </row>
    <row r="9" spans="1:16" ht="12.75" customHeight="1" x14ac:dyDescent="0.2">
      <c r="A9" s="700" t="s">
        <v>289</v>
      </c>
      <c r="B9" s="702">
        <f>'FOFIR  INCREMENTO'!C12+'FFOR ESTIMACIONES'!C12</f>
        <v>136223.33080593604</v>
      </c>
      <c r="C9" s="702">
        <f>'FOFIR  INCREMENTO'!D12+'FFOR ESTIMACIONES'!D12</f>
        <v>106022.47054212105</v>
      </c>
      <c r="D9" s="702">
        <f>'FOFIR  INCREMENTO'!E12+'FFOR ESTIMACIONES'!E12</f>
        <v>106022.47054212105</v>
      </c>
      <c r="E9" s="702">
        <f>'FOFIR  INCREMENTO'!F12+'FFOR ESTIMACIONES'!F12</f>
        <v>160370.91559869357</v>
      </c>
      <c r="F9" s="702">
        <f>'FOFIR  INCREMENTO'!G12+'FFOR ESTIMACIONES'!G12</f>
        <v>106022.47054212105</v>
      </c>
      <c r="G9" s="702">
        <f>'FOFIR  INCREMENTO'!H12+'FFOR ESTIMACIONES'!H12</f>
        <v>106022.47054212105</v>
      </c>
      <c r="H9" s="702">
        <f>'FOFIR  INCREMENTO'!I12+'FFOR ESTIMACIONES'!I12</f>
        <v>134840.6604641614</v>
      </c>
      <c r="I9" s="702">
        <f>'FOFIR  INCREMENTO'!J12+'FFOR ESTIMACIONES'!J12</f>
        <v>106022.47054212107</v>
      </c>
      <c r="J9" s="702">
        <f>'FOFIR  INCREMENTO'!K12+'FFOR ESTIMACIONES'!K12</f>
        <v>106022.47054212107</v>
      </c>
      <c r="K9" s="702">
        <f>'FOFIR  INCREMENTO'!L12+'FFOR ESTIMACIONES'!L12</f>
        <v>140569.31906997022</v>
      </c>
      <c r="L9" s="702">
        <f>'FOFIR  INCREMENTO'!M12+'FFOR ESTIMACIONES'!M12</f>
        <v>106022.4705421211</v>
      </c>
      <c r="M9" s="702">
        <f>'FOFIR  INCREMENTO'!N12+'FFOR ESTIMACIONES'!N12</f>
        <v>106022.4705421211</v>
      </c>
      <c r="N9" s="703">
        <f t="shared" si="0"/>
        <v>1420183.9902757299</v>
      </c>
      <c r="P9" s="704"/>
    </row>
    <row r="10" spans="1:16" ht="12.75" customHeight="1" x14ac:dyDescent="0.2">
      <c r="A10" s="700" t="s">
        <v>154</v>
      </c>
      <c r="B10" s="702">
        <f>'FOFIR  INCREMENTO'!C13+'FFOR ESTIMACIONES'!C13</f>
        <v>46943.919635121681</v>
      </c>
      <c r="C10" s="702">
        <f>'FOFIR  INCREMENTO'!D13+'FFOR ESTIMACIONES'!D13</f>
        <v>36546.418155936706</v>
      </c>
      <c r="D10" s="702">
        <f>'FOFIR  INCREMENTO'!E13+'FFOR ESTIMACIONES'!E13</f>
        <v>36546.418155936706</v>
      </c>
      <c r="E10" s="702">
        <f>'FOFIR  INCREMENTO'!F13+'FFOR ESTIMACIONES'!F13</f>
        <v>55259.921339763569</v>
      </c>
      <c r="F10" s="702">
        <f>'FOFIR  INCREMENTO'!G13+'FFOR ESTIMACIONES'!G13</f>
        <v>36546.418155936706</v>
      </c>
      <c r="G10" s="702">
        <f>'FOFIR  INCREMENTO'!H13+'FFOR ESTIMACIONES'!H13</f>
        <v>36546.418155936706</v>
      </c>
      <c r="H10" s="702">
        <f>'FOFIR  INCREMENTO'!I13+'FFOR ESTIMACIONES'!I13</f>
        <v>46462.868832540647</v>
      </c>
      <c r="I10" s="702">
        <f>'FOFIR  INCREMENTO'!J13+'FFOR ESTIMACIONES'!J13</f>
        <v>36546.418155936706</v>
      </c>
      <c r="J10" s="702">
        <f>'FOFIR  INCREMENTO'!K13+'FFOR ESTIMACIONES'!K13</f>
        <v>36546.418155936706</v>
      </c>
      <c r="K10" s="702">
        <f>'FOFIR  INCREMENTO'!L13+'FFOR ESTIMACIONES'!L13</f>
        <v>48439.285993104728</v>
      </c>
      <c r="L10" s="702">
        <f>'FOFIR  INCREMENTO'!M13+'FFOR ESTIMACIONES'!M13</f>
        <v>36546.418155936721</v>
      </c>
      <c r="M10" s="702">
        <f>'FOFIR  INCREMENTO'!N13+'FFOR ESTIMACIONES'!N13</f>
        <v>36546.418155936721</v>
      </c>
      <c r="N10" s="703">
        <f t="shared" si="0"/>
        <v>489477.34104802425</v>
      </c>
      <c r="P10" s="704"/>
    </row>
    <row r="11" spans="1:16" ht="12.75" customHeight="1" x14ac:dyDescent="0.2">
      <c r="A11" s="700" t="s">
        <v>155</v>
      </c>
      <c r="B11" s="702">
        <f>'FOFIR  INCREMENTO'!C14+'FFOR ESTIMACIONES'!C14</f>
        <v>124230.24244290034</v>
      </c>
      <c r="C11" s="702">
        <f>'FOFIR  INCREMENTO'!D14+'FFOR ESTIMACIONES'!D14</f>
        <v>90312.547392919572</v>
      </c>
      <c r="D11" s="702">
        <f>'FOFIR  INCREMENTO'!E14+'FFOR ESTIMACIONES'!E14</f>
        <v>90312.547392919572</v>
      </c>
      <c r="E11" s="702">
        <f>'FOFIR  INCREMENTO'!F14+'FFOR ESTIMACIONES'!F14</f>
        <v>149750.89511270751</v>
      </c>
      <c r="F11" s="702">
        <f>'FOFIR  INCREMENTO'!G14+'FFOR ESTIMACIONES'!G14</f>
        <v>90312.547392919572</v>
      </c>
      <c r="G11" s="702">
        <f>'FOFIR  INCREMENTO'!H14+'FFOR ESTIMACIONES'!H14</f>
        <v>90312.547392919572</v>
      </c>
      <c r="H11" s="702">
        <f>'FOFIR  INCREMENTO'!I14+'FFOR ESTIMACIONES'!I14</f>
        <v>125877.45677451006</v>
      </c>
      <c r="I11" s="702">
        <f>'FOFIR  INCREMENTO'!J14+'FFOR ESTIMACIONES'!J14</f>
        <v>90312.547392919587</v>
      </c>
      <c r="J11" s="702">
        <f>'FOFIR  INCREMENTO'!K14+'FFOR ESTIMACIONES'!K14</f>
        <v>90312.547392919587</v>
      </c>
      <c r="K11" s="702">
        <f>'FOFIR  INCREMENTO'!L14+'FFOR ESTIMACIONES'!L14</f>
        <v>129660.53337129968</v>
      </c>
      <c r="L11" s="702">
        <f>'FOFIR  INCREMENTO'!M14+'FFOR ESTIMACIONES'!M14</f>
        <v>90312.547392919616</v>
      </c>
      <c r="M11" s="702">
        <f>'FOFIR  INCREMENTO'!N14+'FFOR ESTIMACIONES'!N14</f>
        <v>90312.547392919616</v>
      </c>
      <c r="N11" s="703">
        <f t="shared" si="0"/>
        <v>1252019.5068447744</v>
      </c>
      <c r="P11" s="704"/>
    </row>
    <row r="12" spans="1:16" ht="12.75" customHeight="1" x14ac:dyDescent="0.2">
      <c r="A12" s="700" t="s">
        <v>156</v>
      </c>
      <c r="B12" s="702">
        <f>'FOFIR  INCREMENTO'!C15+'FFOR ESTIMACIONES'!C15</f>
        <v>73217.41689484354</v>
      </c>
      <c r="C12" s="702">
        <f>'FOFIR  INCREMENTO'!D15+'FFOR ESTIMACIONES'!D15</f>
        <v>55839.774119728063</v>
      </c>
      <c r="D12" s="702">
        <f>'FOFIR  INCREMENTO'!E15+'FFOR ESTIMACIONES'!E15</f>
        <v>55839.774119728063</v>
      </c>
      <c r="E12" s="702">
        <f>'FOFIR  INCREMENTO'!F15+'FFOR ESTIMACIONES'!F15</f>
        <v>86824.803164653436</v>
      </c>
      <c r="F12" s="702">
        <f>'FOFIR  INCREMENTO'!G15+'FFOR ESTIMACIONES'!G15</f>
        <v>55839.774119728063</v>
      </c>
      <c r="G12" s="702">
        <f>'FOFIR  INCREMENTO'!H15+'FFOR ESTIMACIONES'!H15</f>
        <v>55839.774119728063</v>
      </c>
      <c r="H12" s="702">
        <f>'FOFIR  INCREMENTO'!I15+'FFOR ESTIMACIONES'!I15</f>
        <v>72996.646462266639</v>
      </c>
      <c r="I12" s="702">
        <f>'FOFIR  INCREMENTO'!J15+'FFOR ESTIMACIONES'!J15</f>
        <v>55839.77411972807</v>
      </c>
      <c r="J12" s="702">
        <f>'FOFIR  INCREMENTO'!K15+'FFOR ESTIMACIONES'!K15</f>
        <v>55839.77411972807</v>
      </c>
      <c r="K12" s="702">
        <f>'FOFIR  INCREMENTO'!L15+'FFOR ESTIMACIONES'!L15</f>
        <v>75816.803486396821</v>
      </c>
      <c r="L12" s="702">
        <f>'FOFIR  INCREMENTO'!M15+'FFOR ESTIMACIONES'!M15</f>
        <v>55839.774119728085</v>
      </c>
      <c r="M12" s="702">
        <f>'FOFIR  INCREMENTO'!N15+'FFOR ESTIMACIONES'!N15</f>
        <v>55839.774119728085</v>
      </c>
      <c r="N12" s="703">
        <f t="shared" si="0"/>
        <v>755573.86296598508</v>
      </c>
      <c r="P12" s="704"/>
    </row>
    <row r="13" spans="1:16" ht="12.75" customHeight="1" x14ac:dyDescent="0.2">
      <c r="A13" s="700" t="s">
        <v>157</v>
      </c>
      <c r="B13" s="702">
        <f>'FOFIR  INCREMENTO'!C16+'FFOR ESTIMACIONES'!C16</f>
        <v>54629.467025347098</v>
      </c>
      <c r="C13" s="702">
        <f>'FOFIR  INCREMENTO'!D16+'FFOR ESTIMACIONES'!D16</f>
        <v>41918.164215620891</v>
      </c>
      <c r="D13" s="702">
        <f>'FOFIR  INCREMENTO'!E16+'FFOR ESTIMACIONES'!E16</f>
        <v>41918.164215620891</v>
      </c>
      <c r="E13" s="702">
        <f>'FOFIR  INCREMENTO'!F16+'FFOR ESTIMACIONES'!F16</f>
        <v>64642.564346199848</v>
      </c>
      <c r="F13" s="702">
        <f>'FOFIR  INCREMENTO'!G16+'FFOR ESTIMACIONES'!G16</f>
        <v>41918.164215620891</v>
      </c>
      <c r="G13" s="702">
        <f>'FOFIR  INCREMENTO'!H16+'FFOR ESTIMACIONES'!H16</f>
        <v>41918.164215620891</v>
      </c>
      <c r="H13" s="702">
        <f>'FOFIR  INCREMENTO'!I16+'FFOR ESTIMACIONES'!I16</f>
        <v>54348.604601859013</v>
      </c>
      <c r="I13" s="702">
        <f>'FOFIR  INCREMENTO'!J16+'FFOR ESTIMACIONES'!J16</f>
        <v>41918.164215620898</v>
      </c>
      <c r="J13" s="702">
        <f>'FOFIR  INCREMENTO'!K16+'FFOR ESTIMACIONES'!K16</f>
        <v>41918.164215620898</v>
      </c>
      <c r="K13" s="702">
        <f>'FOFIR  INCREMENTO'!L16+'FFOR ESTIMACIONES'!L16</f>
        <v>56510.355805752377</v>
      </c>
      <c r="L13" s="702">
        <f>'FOFIR  INCREMENTO'!M16+'FFOR ESTIMACIONES'!M16</f>
        <v>41918.164215620913</v>
      </c>
      <c r="M13" s="702">
        <f>'FOFIR  INCREMENTO'!N16+'FFOR ESTIMACIONES'!N16</f>
        <v>41918.164215620913</v>
      </c>
      <c r="N13" s="703">
        <f t="shared" si="0"/>
        <v>565476.30550412554</v>
      </c>
      <c r="P13" s="704"/>
    </row>
    <row r="14" spans="1:16" ht="12.75" customHeight="1" x14ac:dyDescent="0.2">
      <c r="A14" s="700" t="s">
        <v>158</v>
      </c>
      <c r="B14" s="702">
        <f>'FOFIR  INCREMENTO'!C17+'FFOR ESTIMACIONES'!C17</f>
        <v>145506.38386108386</v>
      </c>
      <c r="C14" s="702">
        <f>'FOFIR  INCREMENTO'!D17+'FFOR ESTIMACIONES'!D17</f>
        <v>111856.14487044928</v>
      </c>
      <c r="D14" s="702">
        <f>'FOFIR  INCREMENTO'!E17+'FFOR ESTIMACIONES'!E17</f>
        <v>111856.14487044928</v>
      </c>
      <c r="E14" s="702">
        <f>'FOFIR  INCREMENTO'!F17+'FFOR ESTIMACIONES'!F17</f>
        <v>172063.08587293784</v>
      </c>
      <c r="F14" s="702">
        <f>'FOFIR  INCREMENTO'!G17+'FFOR ESTIMACIONES'!G17</f>
        <v>111856.14487044928</v>
      </c>
      <c r="G14" s="702">
        <f>'FOFIR  INCREMENTO'!H17+'FFOR ESTIMACIONES'!H17</f>
        <v>111856.14487044928</v>
      </c>
      <c r="H14" s="702">
        <f>'FOFIR  INCREMENTO'!I17+'FFOR ESTIMACIONES'!I17</f>
        <v>144664.11103260936</v>
      </c>
      <c r="I14" s="702">
        <f>'FOFIR  INCREMENTO'!J17+'FFOR ESTIMACIONES'!J17</f>
        <v>111856.14487044929</v>
      </c>
      <c r="J14" s="702">
        <f>'FOFIR  INCREMENTO'!K17+'FFOR ESTIMACIONES'!K17</f>
        <v>111856.14487044929</v>
      </c>
      <c r="K14" s="702">
        <f>'FOFIR  INCREMENTO'!L17+'FFOR ESTIMACIONES'!L17</f>
        <v>150468.64672921068</v>
      </c>
      <c r="L14" s="702">
        <f>'FOFIR  INCREMENTO'!M17+'FFOR ESTIMACIONES'!M17</f>
        <v>111856.14487044932</v>
      </c>
      <c r="M14" s="702">
        <f>'FOFIR  INCREMENTO'!N17+'FFOR ESTIMACIONES'!N17</f>
        <v>111856.14487044932</v>
      </c>
      <c r="N14" s="703">
        <f t="shared" si="0"/>
        <v>1507551.386459436</v>
      </c>
      <c r="P14" s="704"/>
    </row>
    <row r="15" spans="1:16" ht="12.75" customHeight="1" x14ac:dyDescent="0.2">
      <c r="A15" s="700" t="s">
        <v>159</v>
      </c>
      <c r="B15" s="702">
        <f>'FOFIR  INCREMENTO'!C18+'FFOR ESTIMACIONES'!C18</f>
        <v>95281.562275807373</v>
      </c>
      <c r="C15" s="702">
        <f>'FOFIR  INCREMENTO'!D18+'FFOR ESTIMACIONES'!D18</f>
        <v>72968.796871253828</v>
      </c>
      <c r="D15" s="702">
        <f>'FOFIR  INCREMENTO'!E18+'FFOR ESTIMACIONES'!E18</f>
        <v>72968.796871253828</v>
      </c>
      <c r="E15" s="702">
        <f>'FOFIR  INCREMENTO'!F18+'FFOR ESTIMACIONES'!F18</f>
        <v>112824.00287479749</v>
      </c>
      <c r="F15" s="702">
        <f>'FOFIR  INCREMENTO'!G18+'FFOR ESTIMACIONES'!G18</f>
        <v>72968.796871253828</v>
      </c>
      <c r="G15" s="702">
        <f>'FOFIR  INCREMENTO'!H18+'FFOR ESTIMACIONES'!H18</f>
        <v>72968.796871253828</v>
      </c>
      <c r="H15" s="702">
        <f>'FOFIR  INCREMENTO'!I18+'FFOR ESTIMACIONES'!I18</f>
        <v>94856.671654094942</v>
      </c>
      <c r="I15" s="702">
        <f>'FOFIR  INCREMENTO'!J18+'FFOR ESTIMACIONES'!J18</f>
        <v>72968.796871253842</v>
      </c>
      <c r="J15" s="702">
        <f>'FOFIR  INCREMENTO'!K18+'FFOR ESTIMACIONES'!K18</f>
        <v>72968.796871253842</v>
      </c>
      <c r="K15" s="702">
        <f>'FOFIR  INCREMENTO'!L18+'FFOR ESTIMACIONES'!L18</f>
        <v>98594.8735892369</v>
      </c>
      <c r="L15" s="702">
        <f>'FOFIR  INCREMENTO'!M18+'FFOR ESTIMACIONES'!M18</f>
        <v>72968.796871253857</v>
      </c>
      <c r="M15" s="702">
        <f>'FOFIR  INCREMENTO'!N18+'FFOR ESTIMACIONES'!N18</f>
        <v>72968.796871253857</v>
      </c>
      <c r="N15" s="703">
        <f t="shared" si="0"/>
        <v>985307.48536396737</v>
      </c>
      <c r="P15" s="704"/>
    </row>
    <row r="16" spans="1:16" ht="12.75" customHeight="1" x14ac:dyDescent="0.2">
      <c r="A16" s="700" t="s">
        <v>160</v>
      </c>
      <c r="B16" s="702">
        <f>'FOFIR  INCREMENTO'!C19+'FFOR ESTIMACIONES'!C19</f>
        <v>175211.10725289915</v>
      </c>
      <c r="C16" s="702">
        <f>'FOFIR  INCREMENTO'!D19+'FFOR ESTIMACIONES'!D19</f>
        <v>130974.14327742736</v>
      </c>
      <c r="D16" s="702">
        <f>'FOFIR  INCREMENTO'!E19+'FFOR ESTIMACIONES'!E19</f>
        <v>130974.14327742736</v>
      </c>
      <c r="E16" s="702">
        <f>'FOFIR  INCREMENTO'!F19+'FFOR ESTIMACIONES'!F19</f>
        <v>209229.25806835794</v>
      </c>
      <c r="F16" s="702">
        <f>'FOFIR  INCREMENTO'!G19+'FFOR ESTIMACIONES'!G19</f>
        <v>130974.14327742736</v>
      </c>
      <c r="G16" s="702">
        <f>'FOFIR  INCREMENTO'!H19+'FFOR ESTIMACIONES'!H19</f>
        <v>130974.14327742736</v>
      </c>
      <c r="H16" s="702">
        <f>'FOFIR  INCREMENTO'!I19+'FFOR ESTIMACIONES'!I19</f>
        <v>175892.37743240609</v>
      </c>
      <c r="I16" s="702">
        <f>'FOFIR  INCREMENTO'!J19+'FFOR ESTIMACIONES'!J19</f>
        <v>130974.14327742737</v>
      </c>
      <c r="J16" s="702">
        <f>'FOFIR  INCREMENTO'!K19+'FFOR ESTIMACIONES'!K19</f>
        <v>130974.14327742737</v>
      </c>
      <c r="K16" s="702">
        <f>'FOFIR  INCREMENTO'!L19+'FFOR ESTIMACIONES'!L19</f>
        <v>182041.63685868873</v>
      </c>
      <c r="L16" s="702">
        <f>'FOFIR  INCREMENTO'!M19+'FFOR ESTIMACIONES'!M19</f>
        <v>130974.1432774274</v>
      </c>
      <c r="M16" s="702">
        <f>'FOFIR  INCREMENTO'!N19+'FFOR ESTIMACIONES'!N19</f>
        <v>130974.1432774274</v>
      </c>
      <c r="N16" s="703">
        <f t="shared" si="0"/>
        <v>1790167.5258317711</v>
      </c>
      <c r="P16" s="704"/>
    </row>
    <row r="17" spans="1:16" ht="12.75" customHeight="1" x14ac:dyDescent="0.2">
      <c r="A17" s="700" t="s">
        <v>290</v>
      </c>
      <c r="B17" s="702">
        <f>'FOFIR  INCREMENTO'!C20+'FFOR ESTIMACIONES'!C20</f>
        <v>32082.245978128209</v>
      </c>
      <c r="C17" s="702">
        <f>'FOFIR  INCREMENTO'!D20+'FFOR ESTIMACIONES'!D20</f>
        <v>24734.573295392911</v>
      </c>
      <c r="D17" s="702">
        <f>'FOFIR  INCREMENTO'!E20+'FFOR ESTIMACIONES'!E20</f>
        <v>24734.573295392911</v>
      </c>
      <c r="E17" s="702">
        <f>'FOFIR  INCREMENTO'!F20+'FFOR ESTIMACIONES'!F20</f>
        <v>37898.266086048701</v>
      </c>
      <c r="F17" s="702">
        <f>'FOFIR  INCREMENTO'!G20+'FFOR ESTIMACIONES'!G20</f>
        <v>24734.573295392911</v>
      </c>
      <c r="G17" s="702">
        <f>'FOFIR  INCREMENTO'!H20+'FFOR ESTIMACIONES'!H20</f>
        <v>24734.573295392911</v>
      </c>
      <c r="H17" s="702">
        <f>'FOFIR  INCREMENTO'!I20+'FFOR ESTIMACIONES'!I20</f>
        <v>31863.80267220438</v>
      </c>
      <c r="I17" s="702">
        <f>'FOFIR  INCREMENTO'!J20+'FFOR ESTIMACIONES'!J20</f>
        <v>24734.573295392915</v>
      </c>
      <c r="J17" s="702">
        <f>'FOFIR  INCREMENTO'!K20+'FFOR ESTIMACIONES'!K20</f>
        <v>24734.573295392915</v>
      </c>
      <c r="K17" s="702">
        <f>'FOFIR  INCREMENTO'!L20+'FFOR ESTIMACIONES'!L20</f>
        <v>33159.848552051655</v>
      </c>
      <c r="L17" s="702">
        <f>'FOFIR  INCREMENTO'!M20+'FFOR ESTIMACIONES'!M20</f>
        <v>24734.573295392922</v>
      </c>
      <c r="M17" s="702">
        <f>'FOFIR  INCREMENTO'!N20+'FFOR ESTIMACIONES'!N20</f>
        <v>24734.573295392922</v>
      </c>
      <c r="N17" s="703">
        <f t="shared" si="0"/>
        <v>332880.74965157622</v>
      </c>
      <c r="P17" s="704"/>
    </row>
    <row r="18" spans="1:16" ht="12.75" customHeight="1" x14ac:dyDescent="0.2">
      <c r="A18" s="700" t="s">
        <v>291</v>
      </c>
      <c r="B18" s="702">
        <f>'FOFIR  INCREMENTO'!C21+'FFOR ESTIMACIONES'!C21</f>
        <v>99391.400023789014</v>
      </c>
      <c r="C18" s="702">
        <f>'FOFIR  INCREMENTO'!D21+'FFOR ESTIMACIONES'!D21</f>
        <v>75403.363201752349</v>
      </c>
      <c r="D18" s="702">
        <f>'FOFIR  INCREMENTO'!E21+'FFOR ESTIMACIONES'!E21</f>
        <v>75403.363201752349</v>
      </c>
      <c r="E18" s="702">
        <f>'FOFIR  INCREMENTO'!F21+'FFOR ESTIMACIONES'!F21</f>
        <v>118081.71964193785</v>
      </c>
      <c r="F18" s="702">
        <f>'FOFIR  INCREMENTO'!G21+'FFOR ESTIMACIONES'!G21</f>
        <v>75403.363201752349</v>
      </c>
      <c r="G18" s="702">
        <f>'FOFIR  INCREMENTO'!H21+'FFOR ESTIMACIONES'!H21</f>
        <v>75403.363201752349</v>
      </c>
      <c r="H18" s="702">
        <f>'FOFIR  INCREMENTO'!I21+'FFOR ESTIMACIONES'!I21</f>
        <v>99273.330570092847</v>
      </c>
      <c r="I18" s="702">
        <f>'FOFIR  INCREMENTO'!J21+'FFOR ESTIMACIONES'!J21</f>
        <v>75403.363201752363</v>
      </c>
      <c r="J18" s="702">
        <f>'FOFIR  INCREMENTO'!K21+'FFOR ESTIMACIONES'!K21</f>
        <v>75403.363201752363</v>
      </c>
      <c r="K18" s="702">
        <f>'FOFIR  INCREMENTO'!L21+'FFOR ESTIMACIONES'!L21</f>
        <v>103011.63676344753</v>
      </c>
      <c r="L18" s="702">
        <f>'FOFIR  INCREMENTO'!M21+'FFOR ESTIMACIONES'!M21</f>
        <v>75403.363201752378</v>
      </c>
      <c r="M18" s="702">
        <f>'FOFIR  INCREMENTO'!N21+'FFOR ESTIMACIONES'!N21</f>
        <v>75403.363201752378</v>
      </c>
      <c r="N18" s="703">
        <f t="shared" si="0"/>
        <v>1022984.9926132861</v>
      </c>
      <c r="P18" s="704"/>
    </row>
    <row r="19" spans="1:16" ht="12.75" customHeight="1" x14ac:dyDescent="0.2">
      <c r="A19" s="700" t="s">
        <v>292</v>
      </c>
      <c r="B19" s="702">
        <f>'FOFIR  INCREMENTO'!C22+'FFOR ESTIMACIONES'!C22</f>
        <v>420065.61621562677</v>
      </c>
      <c r="C19" s="702">
        <f>'FOFIR  INCREMENTO'!D22+'FFOR ESTIMACIONES'!D22</f>
        <v>297399.6705633708</v>
      </c>
      <c r="D19" s="702">
        <f>'FOFIR  INCREMENTO'!E22+'FFOR ESTIMACIONES'!E22</f>
        <v>297399.6705633708</v>
      </c>
      <c r="E19" s="702">
        <f>'FOFIR  INCREMENTO'!F22+'FFOR ESTIMACIONES'!F22</f>
        <v>510738.40749591962</v>
      </c>
      <c r="F19" s="702">
        <f>'FOFIR  INCREMENTO'!G22+'FFOR ESTIMACIONES'!G22</f>
        <v>297399.6705633708</v>
      </c>
      <c r="G19" s="702">
        <f>'FOFIR  INCREMENTO'!H22+'FFOR ESTIMACIONES'!H22</f>
        <v>297399.6705633708</v>
      </c>
      <c r="H19" s="702">
        <f>'FOFIR  INCREMENTO'!I22+'FFOR ESTIMACIONES'!I22</f>
        <v>429274.62224649225</v>
      </c>
      <c r="I19" s="702">
        <f>'FOFIR  INCREMENTO'!J22+'FFOR ESTIMACIONES'!J22</f>
        <v>297399.6705633708</v>
      </c>
      <c r="J19" s="702">
        <f>'FOFIR  INCREMENTO'!K22+'FFOR ESTIMACIONES'!K22</f>
        <v>297399.6705633708</v>
      </c>
      <c r="K19" s="702">
        <f>'FOFIR  INCREMENTO'!L22+'FFOR ESTIMACIONES'!L22</f>
        <v>440262.99265450577</v>
      </c>
      <c r="L19" s="702">
        <f>'FOFIR  INCREMENTO'!M22+'FFOR ESTIMACIONES'!M22</f>
        <v>297399.67056337092</v>
      </c>
      <c r="M19" s="702">
        <f>'FOFIR  INCREMENTO'!N22+'FFOR ESTIMACIONES'!N22</f>
        <v>297399.67056337092</v>
      </c>
      <c r="N19" s="703">
        <f t="shared" si="0"/>
        <v>4179539.0031195115</v>
      </c>
      <c r="P19" s="704"/>
    </row>
    <row r="20" spans="1:16" ht="12.75" customHeight="1" x14ac:dyDescent="0.2">
      <c r="A20" s="700" t="s">
        <v>164</v>
      </c>
      <c r="B20" s="702">
        <f>'FOFIR  INCREMENTO'!C23+'FFOR ESTIMACIONES'!C23</f>
        <v>170533.97903100238</v>
      </c>
      <c r="C20" s="702">
        <f>'FOFIR  INCREMENTO'!D23+'FFOR ESTIMACIONES'!D23</f>
        <v>129601.39277329139</v>
      </c>
      <c r="D20" s="702">
        <f>'FOFIR  INCREMENTO'!E23+'FFOR ESTIMACIONES'!E23</f>
        <v>129601.39277329139</v>
      </c>
      <c r="E20" s="702">
        <f>'FOFIR  INCREMENTO'!F23+'FFOR ESTIMACIONES'!F23</f>
        <v>202478.65253937428</v>
      </c>
      <c r="F20" s="702">
        <f>'FOFIR  INCREMENTO'!G23+'FFOR ESTIMACIONES'!G23</f>
        <v>129601.39277329139</v>
      </c>
      <c r="G20" s="702">
        <f>'FOFIR  INCREMENTO'!H23+'FFOR ESTIMACIONES'!H23</f>
        <v>129601.39277329139</v>
      </c>
      <c r="H20" s="702">
        <f>'FOFIR  INCREMENTO'!I23+'FFOR ESTIMACIONES'!I23</f>
        <v>170228.46891281396</v>
      </c>
      <c r="I20" s="702">
        <f>'FOFIR  INCREMENTO'!J23+'FFOR ESTIMACIONES'!J23</f>
        <v>129601.3927732914</v>
      </c>
      <c r="J20" s="702">
        <f>'FOFIR  INCREMENTO'!K23+'FFOR ESTIMACIONES'!K23</f>
        <v>129601.3927732914</v>
      </c>
      <c r="K20" s="702">
        <f>'FOFIR  INCREMENTO'!L23+'FFOR ESTIMACIONES'!L23</f>
        <v>176693.59722003041</v>
      </c>
      <c r="L20" s="702">
        <f>'FOFIR  INCREMENTO'!M23+'FFOR ESTIMACIONES'!M23</f>
        <v>129601.39277329143</v>
      </c>
      <c r="M20" s="702">
        <f>'FOFIR  INCREMENTO'!N23+'FFOR ESTIMACIONES'!N23</f>
        <v>129601.39277329143</v>
      </c>
      <c r="N20" s="703">
        <f t="shared" si="0"/>
        <v>1756745.839889552</v>
      </c>
      <c r="P20" s="704"/>
    </row>
    <row r="21" spans="1:16" ht="12.75" customHeight="1" x14ac:dyDescent="0.2">
      <c r="A21" s="700" t="s">
        <v>165</v>
      </c>
      <c r="B21" s="702">
        <f>'FOFIR  INCREMENTO'!C24+'FFOR ESTIMACIONES'!C24</f>
        <v>4412920.4130918365</v>
      </c>
      <c r="C21" s="702">
        <f>'FOFIR  INCREMENTO'!D24+'FFOR ESTIMACIONES'!D24</f>
        <v>1495464.6506116232</v>
      </c>
      <c r="D21" s="702">
        <f>'FOFIR  INCREMENTO'!E24+'FFOR ESTIMACIONES'!E24</f>
        <v>1495464.6506116232</v>
      </c>
      <c r="E21" s="702">
        <f>'FOFIR  INCREMENTO'!F24+'FFOR ESTIMACIONES'!F24</f>
        <v>6259364.9387764577</v>
      </c>
      <c r="F21" s="702">
        <f>'FOFIR  INCREMENTO'!G24+'FFOR ESTIMACIONES'!G24</f>
        <v>1495464.6506116232</v>
      </c>
      <c r="G21" s="702">
        <f>'FOFIR  INCREMENTO'!H24+'FFOR ESTIMACIONES'!H24</f>
        <v>1495464.6506116232</v>
      </c>
      <c r="H21" s="702">
        <f>'FOFIR  INCREMENTO'!I24+'FFOR ESTIMACIONES'!I24</f>
        <v>5252613.6326778764</v>
      </c>
      <c r="I21" s="702">
        <f>'FOFIR  INCREMENTO'!J24+'FFOR ESTIMACIONES'!J24</f>
        <v>1495464.6506116227</v>
      </c>
      <c r="J21" s="702">
        <f>'FOFIR  INCREMENTO'!K24+'FFOR ESTIMACIONES'!K24</f>
        <v>1495464.6506116227</v>
      </c>
      <c r="K21" s="702">
        <f>'FOFIR  INCREMENTO'!L24+'FFOR ESTIMACIONES'!L24</f>
        <v>4999856.7513061259</v>
      </c>
      <c r="L21" s="702">
        <f>'FOFIR  INCREMENTO'!M24+'FFOR ESTIMACIONES'!M24</f>
        <v>1495464.650611623</v>
      </c>
      <c r="M21" s="702">
        <f>'FOFIR  INCREMENTO'!N24+'FFOR ESTIMACIONES'!N24</f>
        <v>1495464.650611623</v>
      </c>
      <c r="N21" s="703">
        <f t="shared" si="0"/>
        <v>32888472.940745287</v>
      </c>
      <c r="P21" s="704"/>
    </row>
    <row r="22" spans="1:16" ht="12.75" customHeight="1" x14ac:dyDescent="0.2">
      <c r="A22" s="700" t="s">
        <v>166</v>
      </c>
      <c r="B22" s="702">
        <f>'FOFIR  INCREMENTO'!C25+'FFOR ESTIMACIONES'!C25</f>
        <v>129036.36345567444</v>
      </c>
      <c r="C22" s="702">
        <f>'FOFIR  INCREMENTO'!D25+'FFOR ESTIMACIONES'!D25</f>
        <v>99018.198689019351</v>
      </c>
      <c r="D22" s="702">
        <f>'FOFIR  INCREMENTO'!E25+'FFOR ESTIMACIONES'!E25</f>
        <v>99018.198689019351</v>
      </c>
      <c r="E22" s="702">
        <f>'FOFIR  INCREMENTO'!F25+'FFOR ESTIMACIONES'!F25</f>
        <v>152684.13042086223</v>
      </c>
      <c r="F22" s="702">
        <f>'FOFIR  INCREMENTO'!G25+'FFOR ESTIMACIONES'!G25</f>
        <v>99018.198689019351</v>
      </c>
      <c r="G22" s="702">
        <f>'FOFIR  INCREMENTO'!H25+'FFOR ESTIMACIONES'!H25</f>
        <v>99018.198689019351</v>
      </c>
      <c r="H22" s="702">
        <f>'FOFIR  INCREMENTO'!I25+'FFOR ESTIMACIONES'!I25</f>
        <v>128370.08658560559</v>
      </c>
      <c r="I22" s="702">
        <f>'FOFIR  INCREMENTO'!J25+'FFOR ESTIMACIONES'!J25</f>
        <v>99018.198689019366</v>
      </c>
      <c r="J22" s="702">
        <f>'FOFIR  INCREMENTO'!K25+'FFOR ESTIMACIONES'!K25</f>
        <v>99018.198689019366</v>
      </c>
      <c r="K22" s="702">
        <f>'FOFIR  INCREMENTO'!L25+'FFOR ESTIMACIONES'!L25</f>
        <v>133477.62796442886</v>
      </c>
      <c r="L22" s="702">
        <f>'FOFIR  INCREMENTO'!M25+'FFOR ESTIMACIONES'!M25</f>
        <v>99018.198689019395</v>
      </c>
      <c r="M22" s="702">
        <f>'FOFIR  INCREMENTO'!N25+'FFOR ESTIMACIONES'!N25</f>
        <v>99018.198689019395</v>
      </c>
      <c r="N22" s="703">
        <f t="shared" si="0"/>
        <v>1335713.7979387259</v>
      </c>
      <c r="P22" s="704"/>
    </row>
    <row r="23" spans="1:16" ht="12.75" customHeight="1" thickBot="1" x14ac:dyDescent="0.25">
      <c r="A23" s="700" t="s">
        <v>167</v>
      </c>
      <c r="B23" s="702">
        <f>'FOFIR  INCREMENTO'!C26+'FFOR ESTIMACIONES'!C26</f>
        <v>252294.59741357152</v>
      </c>
      <c r="C23" s="702">
        <f>'FOFIR  INCREMENTO'!D26+'FFOR ESTIMACIONES'!D26</f>
        <v>155725.51565779196</v>
      </c>
      <c r="D23" s="702">
        <f>'FOFIR  INCREMENTO'!E26+'FFOR ESTIMACIONES'!E26</f>
        <v>155725.51565779196</v>
      </c>
      <c r="E23" s="702">
        <f>'FOFIR  INCREMENTO'!F26+'FFOR ESTIMACIONES'!F26</f>
        <v>319318.22507719009</v>
      </c>
      <c r="F23" s="702">
        <f>'FOFIR  INCREMENTO'!G26+'FFOR ESTIMACIONES'!G26</f>
        <v>155725.51565779196</v>
      </c>
      <c r="G23" s="702">
        <f>'FOFIR  INCREMENTO'!H26+'FFOR ESTIMACIONES'!H26</f>
        <v>155725.51565779196</v>
      </c>
      <c r="H23" s="702">
        <f>'FOFIR  INCREMENTO'!I26+'FFOR ESTIMACIONES'!I26</f>
        <v>268268.68315012148</v>
      </c>
      <c r="I23" s="702">
        <f>'FOFIR  INCREMENTO'!J26+'FFOR ESTIMACIONES'!J26</f>
        <v>155725.51565779193</v>
      </c>
      <c r="J23" s="702">
        <f>'FOFIR  INCREMENTO'!K26+'FFOR ESTIMACIONES'!K26</f>
        <v>155725.51565779193</v>
      </c>
      <c r="K23" s="702">
        <f>'FOFIR  INCREMENTO'!L26+'FFOR ESTIMACIONES'!L26</f>
        <v>269692.96717135882</v>
      </c>
      <c r="L23" s="702">
        <f>'FOFIR  INCREMENTO'!M26+'FFOR ESTIMACIONES'!M26</f>
        <v>155725.51565779198</v>
      </c>
      <c r="M23" s="702">
        <f>'FOFIR  INCREMENTO'!N26+'FFOR ESTIMACIONES'!N26</f>
        <v>155725.51565779198</v>
      </c>
      <c r="N23" s="703">
        <f t="shared" si="0"/>
        <v>2355378.5980745773</v>
      </c>
      <c r="P23" s="704"/>
    </row>
    <row r="24" spans="1:16" ht="13.5" thickBot="1" x14ac:dyDescent="0.25">
      <c r="A24" s="705" t="s">
        <v>293</v>
      </c>
      <c r="B24" s="707">
        <f t="shared" ref="B24:M24" si="1">SUM(B4:B23)</f>
        <v>8600323.0550843012</v>
      </c>
      <c r="C24" s="707">
        <f t="shared" si="1"/>
        <v>3786233.6736040069</v>
      </c>
      <c r="D24" s="707">
        <f t="shared" si="1"/>
        <v>3786233.6736040069</v>
      </c>
      <c r="E24" s="707">
        <f t="shared" si="1"/>
        <v>11720443.243427617</v>
      </c>
      <c r="F24" s="707">
        <f t="shared" si="1"/>
        <v>3786233.6736040069</v>
      </c>
      <c r="G24" s="707">
        <f t="shared" si="1"/>
        <v>3786233.6736040069</v>
      </c>
      <c r="H24" s="707">
        <f t="shared" si="1"/>
        <v>9839176.3666764665</v>
      </c>
      <c r="I24" s="707">
        <f t="shared" si="1"/>
        <v>3786233.6736040059</v>
      </c>
      <c r="J24" s="707">
        <f t="shared" si="1"/>
        <v>3786233.6736040059</v>
      </c>
      <c r="K24" s="707">
        <f t="shared" si="1"/>
        <v>9543633.8618403543</v>
      </c>
      <c r="L24" s="707">
        <f t="shared" si="1"/>
        <v>3786233.6736040064</v>
      </c>
      <c r="M24" s="707">
        <f t="shared" si="1"/>
        <v>3786233.6736040064</v>
      </c>
      <c r="N24" s="707">
        <f t="shared" si="0"/>
        <v>69993445.915860787</v>
      </c>
    </row>
    <row r="25" spans="1:16" x14ac:dyDescent="0.2">
      <c r="A25" s="708"/>
      <c r="B25" s="708"/>
      <c r="C25" s="708"/>
      <c r="D25" s="708"/>
      <c r="E25" s="708"/>
      <c r="F25" s="708"/>
      <c r="G25" s="708"/>
      <c r="H25" s="708"/>
      <c r="I25" s="708"/>
      <c r="J25" s="708"/>
      <c r="K25" s="708"/>
      <c r="L25" s="708"/>
      <c r="M25" s="708"/>
      <c r="N25" s="708"/>
    </row>
    <row r="26" spans="1:16" x14ac:dyDescent="0.2">
      <c r="A26" s="709" t="s">
        <v>294</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S32"/>
  <sheetViews>
    <sheetView zoomScale="90" zoomScaleNormal="90" workbookViewId="0">
      <selection activeCell="Z5" sqref="Z5:AA5"/>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2"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3.5703125" customWidth="1"/>
    <col min="22" max="22" width="18.5703125" customWidth="1"/>
    <col min="23" max="23" width="12.5703125" bestFit="1" customWidth="1"/>
    <col min="24" max="24" width="15.28515625" customWidth="1"/>
    <col min="25" max="25" width="14.28515625" customWidth="1"/>
    <col min="26" max="26" width="14.7109375" customWidth="1"/>
    <col min="27" max="27" width="14.42578125" customWidth="1"/>
    <col min="28" max="28" width="14" customWidth="1"/>
    <col min="29" max="29" width="16.85546875" customWidth="1"/>
    <col min="30" max="30" width="13.42578125" customWidth="1"/>
    <col min="31" max="31" width="12.5703125" customWidth="1"/>
    <col min="32" max="32" width="15.28515625" customWidth="1"/>
    <col min="33" max="33" width="14.5703125" customWidth="1"/>
    <col min="34" max="34" width="14.5703125" style="14" customWidth="1"/>
    <col min="35" max="35" width="15.5703125" style="14" customWidth="1"/>
  </cols>
  <sheetData>
    <row r="1" spans="1:45" ht="18" x14ac:dyDescent="0.25">
      <c r="A1" s="797" t="s">
        <v>320</v>
      </c>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row>
    <row r="2" spans="1:45" x14ac:dyDescent="0.25">
      <c r="A2" s="806" t="s">
        <v>281</v>
      </c>
      <c r="B2" s="806"/>
      <c r="C2" s="806"/>
      <c r="D2" s="806"/>
      <c r="E2" s="806"/>
      <c r="F2" s="806"/>
      <c r="G2" s="806"/>
      <c r="H2" s="806"/>
      <c r="I2" s="806"/>
      <c r="J2" s="806"/>
      <c r="K2" s="806"/>
      <c r="L2" s="806"/>
      <c r="M2" s="806"/>
      <c r="N2" s="806"/>
      <c r="O2" s="806"/>
      <c r="P2" s="806"/>
      <c r="Q2" s="806"/>
      <c r="R2" s="806"/>
      <c r="S2" s="806"/>
      <c r="T2" s="806"/>
      <c r="U2" s="806"/>
      <c r="V2" s="806"/>
      <c r="W2" s="806"/>
      <c r="X2" s="806"/>
      <c r="Y2" s="806"/>
      <c r="Z2" s="806"/>
      <c r="AA2" s="806"/>
      <c r="AB2" s="806"/>
      <c r="AC2" s="806"/>
      <c r="AD2" s="806"/>
      <c r="AE2" s="806"/>
      <c r="AF2" s="806"/>
      <c r="AG2" s="806"/>
      <c r="AH2" s="806"/>
      <c r="AI2" s="806"/>
    </row>
    <row r="3" spans="1:45" ht="18.75" customHeight="1" x14ac:dyDescent="0.25"/>
    <row r="4" spans="1:45" ht="15.75" thickBot="1" x14ac:dyDescent="0.3">
      <c r="A4" s="806"/>
      <c r="B4" s="806"/>
      <c r="C4" s="806"/>
      <c r="D4" s="806"/>
      <c r="E4" s="806"/>
      <c r="F4" s="806"/>
      <c r="G4" s="806"/>
      <c r="H4" s="806"/>
      <c r="I4" s="806"/>
      <c r="J4" s="806"/>
      <c r="K4" s="806"/>
      <c r="L4" s="806"/>
      <c r="M4" s="806"/>
      <c r="N4" s="806"/>
      <c r="O4" s="806"/>
      <c r="P4" s="806"/>
      <c r="Q4" s="806"/>
      <c r="R4" s="806"/>
      <c r="S4" s="806"/>
      <c r="T4" s="806"/>
      <c r="U4" s="13"/>
      <c r="V4" s="13"/>
    </row>
    <row r="5" spans="1:45" ht="45" customHeight="1" thickBot="1" x14ac:dyDescent="0.3">
      <c r="A5" s="812" t="s">
        <v>239</v>
      </c>
      <c r="B5" s="16"/>
      <c r="C5" s="16"/>
      <c r="D5" s="16"/>
      <c r="E5" s="16"/>
      <c r="F5" s="16"/>
      <c r="G5" s="16"/>
      <c r="H5" s="16"/>
      <c r="I5" s="17"/>
      <c r="J5" s="18"/>
      <c r="K5" s="18"/>
      <c r="L5" s="18"/>
      <c r="M5" s="18"/>
      <c r="N5" s="18"/>
      <c r="O5" s="18"/>
      <c r="P5" s="18"/>
      <c r="Q5" s="18"/>
      <c r="R5" s="18"/>
      <c r="S5" s="792" t="s">
        <v>277</v>
      </c>
      <c r="T5" s="793"/>
      <c r="U5" s="792" t="s">
        <v>187</v>
      </c>
      <c r="V5" s="815"/>
      <c r="W5" s="793"/>
      <c r="X5" s="792" t="s">
        <v>439</v>
      </c>
      <c r="Y5" s="793"/>
      <c r="Z5" s="792" t="s">
        <v>190</v>
      </c>
      <c r="AA5" s="816"/>
      <c r="AB5" s="792" t="s">
        <v>437</v>
      </c>
      <c r="AC5" s="793"/>
      <c r="AD5" s="792" t="s">
        <v>438</v>
      </c>
      <c r="AE5" s="793"/>
      <c r="AF5" s="810" t="s">
        <v>440</v>
      </c>
      <c r="AG5" s="811"/>
      <c r="AH5" s="798" t="s">
        <v>441</v>
      </c>
      <c r="AI5" s="799"/>
      <c r="AJ5" s="190"/>
      <c r="AK5" s="110"/>
      <c r="AL5" s="110"/>
      <c r="AM5" s="110"/>
      <c r="AN5" s="110"/>
      <c r="AO5" s="110"/>
      <c r="AP5" s="110"/>
      <c r="AQ5" s="110"/>
      <c r="AR5" s="110"/>
      <c r="AS5" s="159"/>
    </row>
    <row r="6" spans="1:45" ht="15.75" customHeight="1" x14ac:dyDescent="0.25">
      <c r="A6" s="813"/>
      <c r="B6" s="783" t="s">
        <v>15</v>
      </c>
      <c r="C6" s="19"/>
      <c r="D6" s="20"/>
      <c r="E6" s="801" t="s">
        <v>16</v>
      </c>
      <c r="F6" s="801"/>
      <c r="G6" s="801"/>
      <c r="H6" s="801"/>
      <c r="I6" s="783" t="s">
        <v>17</v>
      </c>
      <c r="J6" s="783"/>
      <c r="K6" s="783"/>
      <c r="L6" s="783"/>
      <c r="M6" s="783" t="s">
        <v>18</v>
      </c>
      <c r="N6" s="783" t="s">
        <v>19</v>
      </c>
      <c r="O6" s="783"/>
      <c r="P6" s="783"/>
      <c r="Q6" s="783"/>
      <c r="R6" s="784"/>
      <c r="S6" s="787" t="s">
        <v>278</v>
      </c>
      <c r="T6" s="790" t="s">
        <v>279</v>
      </c>
      <c r="U6" s="787" t="s">
        <v>278</v>
      </c>
      <c r="V6" s="794" t="s">
        <v>280</v>
      </c>
      <c r="W6" s="785" t="s">
        <v>279</v>
      </c>
      <c r="X6" s="760"/>
      <c r="Y6" s="785" t="s">
        <v>20</v>
      </c>
      <c r="Z6" s="787" t="s">
        <v>278</v>
      </c>
      <c r="AA6" s="785" t="s">
        <v>279</v>
      </c>
      <c r="AB6" s="787" t="s">
        <v>278</v>
      </c>
      <c r="AC6" s="785" t="s">
        <v>279</v>
      </c>
      <c r="AD6" s="787" t="s">
        <v>278</v>
      </c>
      <c r="AE6" s="785" t="s">
        <v>279</v>
      </c>
      <c r="AF6" s="807" t="s">
        <v>278</v>
      </c>
      <c r="AG6" s="785" t="s">
        <v>279</v>
      </c>
      <c r="AH6" s="787" t="s">
        <v>278</v>
      </c>
      <c r="AI6" s="785" t="s">
        <v>279</v>
      </c>
    </row>
    <row r="7" spans="1:45" ht="15.75" customHeight="1" x14ac:dyDescent="0.25">
      <c r="A7" s="813"/>
      <c r="B7" s="800"/>
      <c r="C7" s="21" t="s">
        <v>21</v>
      </c>
      <c r="D7" s="782" t="s">
        <v>22</v>
      </c>
      <c r="E7" s="782"/>
      <c r="F7" s="21" t="s">
        <v>23</v>
      </c>
      <c r="G7" s="21" t="s">
        <v>24</v>
      </c>
      <c r="H7" s="22" t="s">
        <v>25</v>
      </c>
      <c r="I7" s="803" t="s">
        <v>26</v>
      </c>
      <c r="J7" s="783" t="s">
        <v>27</v>
      </c>
      <c r="K7" s="21" t="s">
        <v>24</v>
      </c>
      <c r="L7" s="783" t="s">
        <v>28</v>
      </c>
      <c r="M7" s="800"/>
      <c r="N7" s="803" t="s">
        <v>29</v>
      </c>
      <c r="O7" s="23"/>
      <c r="P7" s="23"/>
      <c r="Q7" s="21" t="s">
        <v>23</v>
      </c>
      <c r="R7" s="24" t="s">
        <v>30</v>
      </c>
      <c r="S7" s="788"/>
      <c r="T7" s="791"/>
      <c r="U7" s="788"/>
      <c r="V7" s="795"/>
      <c r="W7" s="786"/>
      <c r="X7" s="769" t="s">
        <v>435</v>
      </c>
      <c r="Y7" s="786"/>
      <c r="Z7" s="788"/>
      <c r="AA7" s="786"/>
      <c r="AB7" s="788"/>
      <c r="AC7" s="786"/>
      <c r="AD7" s="788"/>
      <c r="AE7" s="786"/>
      <c r="AF7" s="808"/>
      <c r="AG7" s="786"/>
      <c r="AH7" s="788"/>
      <c r="AI7" s="786"/>
    </row>
    <row r="8" spans="1:45" ht="15.75" customHeight="1" x14ac:dyDescent="0.25">
      <c r="A8" s="813"/>
      <c r="B8" s="800"/>
      <c r="C8" s="21" t="s">
        <v>31</v>
      </c>
      <c r="D8" s="782">
        <v>2010</v>
      </c>
      <c r="E8" s="782"/>
      <c r="F8" s="21" t="s">
        <v>32</v>
      </c>
      <c r="G8" s="21" t="s">
        <v>33</v>
      </c>
      <c r="H8" s="22" t="s">
        <v>34</v>
      </c>
      <c r="I8" s="803"/>
      <c r="J8" s="783"/>
      <c r="K8" s="21" t="s">
        <v>33</v>
      </c>
      <c r="L8" s="783"/>
      <c r="M8" s="800"/>
      <c r="N8" s="804"/>
      <c r="O8" s="26"/>
      <c r="P8" s="26"/>
      <c r="Q8" s="21" t="s">
        <v>35</v>
      </c>
      <c r="R8" s="24" t="s">
        <v>36</v>
      </c>
      <c r="S8" s="788"/>
      <c r="T8" s="791"/>
      <c r="U8" s="788"/>
      <c r="V8" s="795"/>
      <c r="W8" s="786"/>
      <c r="X8" s="769" t="s">
        <v>436</v>
      </c>
      <c r="Y8" s="786"/>
      <c r="Z8" s="788"/>
      <c r="AA8" s="786"/>
      <c r="AB8" s="788"/>
      <c r="AC8" s="786"/>
      <c r="AD8" s="788"/>
      <c r="AE8" s="786"/>
      <c r="AF8" s="808"/>
      <c r="AG8" s="786"/>
      <c r="AH8" s="788"/>
      <c r="AI8" s="786"/>
    </row>
    <row r="9" spans="1:45" ht="15.75" customHeight="1" thickBot="1" x14ac:dyDescent="0.3">
      <c r="A9" s="814"/>
      <c r="B9" s="27">
        <v>2014</v>
      </c>
      <c r="C9" s="27" t="s">
        <v>37</v>
      </c>
      <c r="D9" s="28" t="s">
        <v>38</v>
      </c>
      <c r="E9" s="28" t="s">
        <v>39</v>
      </c>
      <c r="F9" s="28" t="s">
        <v>40</v>
      </c>
      <c r="G9" s="29">
        <v>0.6</v>
      </c>
      <c r="H9" s="30">
        <v>0.6</v>
      </c>
      <c r="I9" s="28" t="s">
        <v>41</v>
      </c>
      <c r="J9" s="28"/>
      <c r="K9" s="29">
        <v>0.3</v>
      </c>
      <c r="L9" s="28" t="s">
        <v>42</v>
      </c>
      <c r="M9" s="802"/>
      <c r="N9" s="805"/>
      <c r="O9" s="31"/>
      <c r="P9" s="31"/>
      <c r="Q9" s="28" t="s">
        <v>43</v>
      </c>
      <c r="R9" s="32" t="s">
        <v>44</v>
      </c>
      <c r="S9" s="789"/>
      <c r="T9" s="694" t="s">
        <v>45</v>
      </c>
      <c r="U9" s="789"/>
      <c r="V9" s="796"/>
      <c r="W9" s="176" t="s">
        <v>45</v>
      </c>
      <c r="X9" s="761"/>
      <c r="Y9" s="176" t="s">
        <v>45</v>
      </c>
      <c r="Z9" s="789"/>
      <c r="AA9" s="176" t="s">
        <v>45</v>
      </c>
      <c r="AB9" s="789"/>
      <c r="AC9" s="176" t="s">
        <v>45</v>
      </c>
      <c r="AD9" s="789"/>
      <c r="AE9" s="176" t="s">
        <v>45</v>
      </c>
      <c r="AF9" s="809"/>
      <c r="AG9" s="177" t="s">
        <v>45</v>
      </c>
      <c r="AH9" s="789"/>
      <c r="AI9" s="176" t="s">
        <v>45</v>
      </c>
    </row>
    <row r="10" spans="1:45" ht="27" customHeight="1" x14ac:dyDescent="0.25">
      <c r="A10" s="33" t="s">
        <v>46</v>
      </c>
      <c r="B10" s="34">
        <v>3.62</v>
      </c>
      <c r="C10" s="35">
        <f>[1]Datos!I$13*B10%</f>
        <v>35350314.182820007</v>
      </c>
      <c r="D10" s="36">
        <f>E10/E$30*100</f>
        <v>3.3707564846877225</v>
      </c>
      <c r="E10" s="37">
        <v>36572</v>
      </c>
      <c r="F10" s="38">
        <f>D10</f>
        <v>3.3707564846877225</v>
      </c>
      <c r="G10" s="38">
        <f>F10*0.6</f>
        <v>2.0224538908126335</v>
      </c>
      <c r="H10" s="39">
        <f>[1]Datos!$K$18*Consolidado!G10/100</f>
        <v>5653240.9108052226</v>
      </c>
      <c r="I10" s="36">
        <v>1.210777</v>
      </c>
      <c r="J10" s="36">
        <f>I10/$I$30*100</f>
        <v>5.6616379474610792</v>
      </c>
      <c r="K10" s="36">
        <f>J10*0.3</f>
        <v>1.6984913842383238</v>
      </c>
      <c r="L10" s="37">
        <f>[1]Datos!$K$18*Consolidado!K10/100</f>
        <v>4747688.4509679256</v>
      </c>
      <c r="M10" s="40">
        <f>H10+L10</f>
        <v>10400929.361773148</v>
      </c>
      <c r="N10" s="36">
        <f>K10+G10</f>
        <v>3.7209452750509575</v>
      </c>
      <c r="O10" s="36">
        <f>1/N10</f>
        <v>0.26874891353684455</v>
      </c>
      <c r="P10" s="36">
        <f>O10/$O$30*100</f>
        <v>4.2169783378374488</v>
      </c>
      <c r="Q10" s="36">
        <f>P10*0.1</f>
        <v>0.42169783378374492</v>
      </c>
      <c r="R10" s="41">
        <f>Q10*[1]Datos!$K$18/100</f>
        <v>1178746.0059157736</v>
      </c>
      <c r="S10" s="178">
        <f>FGP!U8</f>
        <v>3.6636711021849497</v>
      </c>
      <c r="T10" s="179">
        <f>FGP!T8</f>
        <v>53464614.855583891</v>
      </c>
      <c r="U10" s="180">
        <f>FFM!S9</f>
        <v>2.3949184269814863</v>
      </c>
      <c r="V10" s="181">
        <f>FFM!N9</f>
        <v>0</v>
      </c>
      <c r="W10" s="182">
        <f>FFM!Q9</f>
        <v>17119478.501895957</v>
      </c>
      <c r="X10" s="763">
        <f>FOCO!J11</f>
        <v>3.2030262563385246</v>
      </c>
      <c r="Y10" s="766">
        <f>FOCO!L11</f>
        <v>3544670.4550090432</v>
      </c>
      <c r="Z10" s="407">
        <f>FOFIR!I9</f>
        <v>0.26983085665102891</v>
      </c>
      <c r="AA10" s="182">
        <f>FOFIR!K9</f>
        <v>1678826.4179983749</v>
      </c>
      <c r="AB10" s="407">
        <f>'IEPS TyA'!E10</f>
        <v>0.05</v>
      </c>
      <c r="AC10" s="182">
        <f>'IEPS TyA'!G10</f>
        <v>1590213.36375</v>
      </c>
      <c r="AD10" s="407">
        <f>'IEPS GyD '!F8</f>
        <v>3.1589687142796663</v>
      </c>
      <c r="AE10" s="182">
        <f>'IEPS GyD '!H8</f>
        <v>1906134.6015851572</v>
      </c>
      <c r="AF10" s="410">
        <f>FGP!F8+FGP!L8+FGP!R8</f>
        <v>3.6636711021849497</v>
      </c>
      <c r="AG10" s="358">
        <f>'Incentivo ISAN'!J9</f>
        <v>303251.14394809952</v>
      </c>
      <c r="AH10" s="43">
        <f>FGP!F8+FGP!L8+FGP!R8</f>
        <v>3.6636711021849497</v>
      </c>
      <c r="AI10" s="42">
        <f>'FOCO ISAN'!J9</f>
        <v>87857.406759344376</v>
      </c>
      <c r="AJ10" s="44"/>
      <c r="AK10" s="371"/>
      <c r="AL10" s="44"/>
    </row>
    <row r="11" spans="1:45" ht="27" customHeight="1" x14ac:dyDescent="0.25">
      <c r="A11" s="45" t="s">
        <v>47</v>
      </c>
      <c r="B11" s="46">
        <v>2.4700000000000002</v>
      </c>
      <c r="C11" s="47">
        <f>[1]Datos!I$13*B11%</f>
        <v>24120241.997670002</v>
      </c>
      <c r="D11" s="48">
        <f t="shared" ref="D11:D29" si="0">E11/E$30*100</f>
        <v>1.4036216369164749</v>
      </c>
      <c r="E11" s="49">
        <v>15229</v>
      </c>
      <c r="F11" s="50">
        <f t="shared" ref="F11:F30" si="1">D11</f>
        <v>1.4036216369164749</v>
      </c>
      <c r="G11" s="50">
        <f t="shared" ref="G11:G29" si="2">F11*0.6</f>
        <v>0.8421729821498849</v>
      </c>
      <c r="H11" s="51">
        <f>[1]Datos!$K$18*Consolidado!G11/100</f>
        <v>2354074.314520746</v>
      </c>
      <c r="I11" s="48">
        <v>1.1581699999999999</v>
      </c>
      <c r="J11" s="48">
        <f t="shared" ref="J11:J29" si="3">I11/$I$30*100</f>
        <v>5.4156456734898315</v>
      </c>
      <c r="K11" s="48">
        <f t="shared" ref="K11:K29" si="4">J11*0.3</f>
        <v>1.6246937020469494</v>
      </c>
      <c r="L11" s="52">
        <f>[1]Datos!$K$18*Consolidado!K11/100</f>
        <v>4541406.3310234025</v>
      </c>
      <c r="M11" s="53">
        <f t="shared" ref="M11:M30" si="5">H11+L11</f>
        <v>6895480.645544149</v>
      </c>
      <c r="N11" s="48">
        <f t="shared" ref="N11:N29" si="6">K11+G11</f>
        <v>2.4668666841968343</v>
      </c>
      <c r="O11" s="48">
        <f t="shared" ref="O11:O29" si="7">1/N11</f>
        <v>0.40537253448115756</v>
      </c>
      <c r="P11" s="48">
        <f t="shared" ref="P11:P29" si="8">O11/$O$30*100</f>
        <v>6.3607594693659895</v>
      </c>
      <c r="Q11" s="48">
        <f t="shared" ref="Q11:Q29" si="9">P11*0.1</f>
        <v>0.63607594693659897</v>
      </c>
      <c r="R11" s="54">
        <f>Q11*[1]Datos!$K$18/100</f>
        <v>1777983.9540155372</v>
      </c>
      <c r="S11" s="178">
        <f>FGP!U9</f>
        <v>2.8774681766767136</v>
      </c>
      <c r="T11" s="179">
        <f>FGP!T9</f>
        <v>38347317.047487177</v>
      </c>
      <c r="U11" s="180">
        <f>FFM!S10</f>
        <v>1.1480699747162255</v>
      </c>
      <c r="V11" s="181">
        <f>FFM!N10</f>
        <v>0</v>
      </c>
      <c r="W11" s="182">
        <f>FFM!Q10</f>
        <v>11383874.596389817</v>
      </c>
      <c r="X11" s="763">
        <f>FOCO!J12</f>
        <v>3.2649069896522058</v>
      </c>
      <c r="Y11" s="767">
        <f>FOCO!L12</f>
        <v>1902776.9957215358</v>
      </c>
      <c r="Z11" s="407">
        <f>FOFIR!I10</f>
        <v>6.6882697360490753E-2</v>
      </c>
      <c r="AA11" s="182">
        <f>FOFIR!K10</f>
        <v>674116.8519737114</v>
      </c>
      <c r="AB11" s="407">
        <f>'IEPS TyA'!E11</f>
        <v>0.05</v>
      </c>
      <c r="AC11" s="182">
        <f>'IEPS TyA'!G11</f>
        <v>1969437.36375</v>
      </c>
      <c r="AD11" s="407">
        <f>'IEPS GyD '!F9</f>
        <v>1.3507472164599297</v>
      </c>
      <c r="AE11" s="182">
        <f>'IEPS GyD '!H9</f>
        <v>787559.92963595956</v>
      </c>
      <c r="AF11" s="411">
        <f>FGP!F9+FGP!L9+FGP!R9</f>
        <v>2.8774681766767141</v>
      </c>
      <c r="AG11" s="358">
        <f>'Incentivo ISAN'!J10</f>
        <v>238175.17782397685</v>
      </c>
      <c r="AH11" s="43">
        <f>FGP!F9+FGP!L9+FGP!R9</f>
        <v>2.8774681766767141</v>
      </c>
      <c r="AI11" s="42">
        <f>'FOCO ISAN'!J10</f>
        <v>69003.708298101701</v>
      </c>
      <c r="AJ11" s="44"/>
      <c r="AK11" s="44"/>
      <c r="AL11" s="44"/>
    </row>
    <row r="12" spans="1:45" ht="27" customHeight="1" x14ac:dyDescent="0.25">
      <c r="A12" s="45" t="s">
        <v>48</v>
      </c>
      <c r="B12" s="46">
        <v>2.33</v>
      </c>
      <c r="C12" s="47">
        <f>[1]Datos!I$13*B12%</f>
        <v>22753102.77513</v>
      </c>
      <c r="D12" s="48">
        <f t="shared" si="0"/>
        <v>1.0311720319010782</v>
      </c>
      <c r="E12" s="52">
        <v>11188</v>
      </c>
      <c r="F12" s="50">
        <f t="shared" si="1"/>
        <v>1.0311720319010782</v>
      </c>
      <c r="G12" s="50">
        <f t="shared" si="2"/>
        <v>0.61870321914064685</v>
      </c>
      <c r="H12" s="51">
        <f>[1]Datos!$K$18*Consolidado!G12/100</f>
        <v>1729423.0370252877</v>
      </c>
      <c r="I12" s="48">
        <v>1.096811</v>
      </c>
      <c r="J12" s="48">
        <f t="shared" si="3"/>
        <v>5.1287287244411921</v>
      </c>
      <c r="K12" s="48">
        <f t="shared" si="4"/>
        <v>1.5386186173323575</v>
      </c>
      <c r="L12" s="52">
        <f>[1]Datos!$K$18*Consolidado!K12/100</f>
        <v>4300805.943286485</v>
      </c>
      <c r="M12" s="53">
        <f t="shared" si="5"/>
        <v>6030228.9803117728</v>
      </c>
      <c r="N12" s="48">
        <f t="shared" si="6"/>
        <v>2.1573218364730042</v>
      </c>
      <c r="O12" s="48">
        <f t="shared" si="7"/>
        <v>0.46353769896238362</v>
      </c>
      <c r="P12" s="48">
        <f t="shared" si="8"/>
        <v>7.2734375353201246</v>
      </c>
      <c r="Q12" s="48">
        <f t="shared" si="9"/>
        <v>0.72734375353201253</v>
      </c>
      <c r="R12" s="54">
        <f>Q12*[1]Datos!$K$18/100</f>
        <v>2033099.2376956686</v>
      </c>
      <c r="S12" s="178">
        <f>FGP!U10</f>
        <v>4.7152682285520395</v>
      </c>
      <c r="T12" s="179">
        <f>FGP!T10</f>
        <v>46066818.461503468</v>
      </c>
      <c r="U12" s="180">
        <f>FFM!S11</f>
        <v>0.742349609233798</v>
      </c>
      <c r="V12" s="181">
        <f>FFM!N11</f>
        <v>0</v>
      </c>
      <c r="W12" s="182">
        <f>FFM!Q11</f>
        <v>10530407.891904105</v>
      </c>
      <c r="X12" s="763">
        <f>FOCO!J13</f>
        <v>3.8245953237238961</v>
      </c>
      <c r="Y12" s="767">
        <f>FOCO!L13</f>
        <v>1781618.6305655646</v>
      </c>
      <c r="Z12" s="407">
        <f>FOFIR!I11</f>
        <v>2.52931549003006E-2</v>
      </c>
      <c r="AA12" s="182">
        <f>FOFIR!K11</f>
        <v>487021.27072353457</v>
      </c>
      <c r="AB12" s="407">
        <f>'IEPS TyA'!E12</f>
        <v>0.05</v>
      </c>
      <c r="AC12" s="182">
        <f>'IEPS TyA'!G12</f>
        <v>2039511.36375</v>
      </c>
      <c r="AD12" s="407">
        <f>'IEPS GyD '!F10</f>
        <v>1.0034291520257399</v>
      </c>
      <c r="AE12" s="182">
        <f>'IEPS GyD '!H10</f>
        <v>578494.21190157067</v>
      </c>
      <c r="AF12" s="411">
        <f>FGP!F10+FGP!L10+FGP!R10</f>
        <v>4.7152682285520395</v>
      </c>
      <c r="AG12" s="358">
        <f>'Incentivo ISAN'!J11</f>
        <v>390294.44632127625</v>
      </c>
      <c r="AH12" s="43">
        <f>FGP!F10+FGP!L10+FGP!R10</f>
        <v>4.7152682285520395</v>
      </c>
      <c r="AI12" s="42">
        <f>'FOCO ISAN'!J11</f>
        <v>113075.44459660846</v>
      </c>
      <c r="AJ12" s="44"/>
      <c r="AK12" s="44"/>
      <c r="AL12" s="44"/>
    </row>
    <row r="13" spans="1:45" ht="27" customHeight="1" x14ac:dyDescent="0.25">
      <c r="A13" s="45" t="s">
        <v>49</v>
      </c>
      <c r="B13" s="46">
        <v>2.81</v>
      </c>
      <c r="C13" s="47">
        <f>[1]Datos!I$13*B13%</f>
        <v>27440437.252410002</v>
      </c>
      <c r="D13" s="48">
        <f t="shared" si="0"/>
        <v>11.447687005923617</v>
      </c>
      <c r="E13" s="52">
        <v>124205</v>
      </c>
      <c r="F13" s="50">
        <f t="shared" si="1"/>
        <v>11.447687005923617</v>
      </c>
      <c r="G13" s="50">
        <f t="shared" si="2"/>
        <v>6.8686122035541706</v>
      </c>
      <c r="H13" s="51">
        <f>[1]Datos!$K$18*Consolidado!G13/100</f>
        <v>19199409.037694484</v>
      </c>
      <c r="I13" s="48">
        <v>0.95977000000000001</v>
      </c>
      <c r="J13" s="48">
        <f t="shared" si="3"/>
        <v>4.4879199496147679</v>
      </c>
      <c r="K13" s="48">
        <f t="shared" si="4"/>
        <v>1.3463759848844303</v>
      </c>
      <c r="L13" s="52">
        <f>[1]Datos!$K$18*Consolidado!K13/100</f>
        <v>3763441.9423110001</v>
      </c>
      <c r="M13" s="53">
        <f t="shared" si="5"/>
        <v>22962850.980005484</v>
      </c>
      <c r="N13" s="48">
        <f t="shared" si="6"/>
        <v>8.2149881884386016</v>
      </c>
      <c r="O13" s="48">
        <f t="shared" si="7"/>
        <v>0.12172872036594699</v>
      </c>
      <c r="P13" s="48">
        <f t="shared" si="8"/>
        <v>1.9100630775405734</v>
      </c>
      <c r="Q13" s="48">
        <f t="shared" si="9"/>
        <v>0.19100630775405736</v>
      </c>
      <c r="R13" s="54">
        <f>Q13*[1]Datos!$K$18/100</f>
        <v>533908.17863502365</v>
      </c>
      <c r="S13" s="178">
        <f>FGP!U11</f>
        <v>9.1392838894846484</v>
      </c>
      <c r="T13" s="179">
        <f>FGP!T11</f>
        <v>72627827.629548326</v>
      </c>
      <c r="U13" s="180">
        <f>FFM!S12</f>
        <v>27.719257131829963</v>
      </c>
      <c r="V13" s="181">
        <f>FFM!N12</f>
        <v>0</v>
      </c>
      <c r="W13" s="182">
        <f>FFM!Q12</f>
        <v>29096392.335223839</v>
      </c>
      <c r="X13" s="763">
        <f>FOCO!J14</f>
        <v>9.151475237852404</v>
      </c>
      <c r="Y13" s="767">
        <f>FOCO!L14</f>
        <v>7664290.0450538816</v>
      </c>
      <c r="Z13" s="407">
        <f>FOFIR!I12</f>
        <v>28.462443415789711</v>
      </c>
      <c r="AA13" s="182">
        <f>FOFIR!K12</f>
        <v>11263549.256246721</v>
      </c>
      <c r="AB13" s="407">
        <f>'IEPS TyA'!E13</f>
        <v>0.05</v>
      </c>
      <c r="AC13" s="182">
        <f>'IEPS TyA'!G13</f>
        <v>1825167.36375</v>
      </c>
      <c r="AD13" s="407">
        <f>'IEPS GyD '!F11</f>
        <v>12.721730663392744</v>
      </c>
      <c r="AE13" s="182">
        <f>'IEPS GyD '!H11</f>
        <v>5390907.5440984722</v>
      </c>
      <c r="AF13" s="411">
        <f>FGP!F11+FGP!L11+FGP!R11</f>
        <v>9.1392838894846484</v>
      </c>
      <c r="AG13" s="358">
        <f>'Incentivo ISAN'!J12</f>
        <v>756481.19524151122</v>
      </c>
      <c r="AH13" s="43">
        <f>FGP!F11+FGP!L11+FGP!R11</f>
        <v>9.1392838894846484</v>
      </c>
      <c r="AI13" s="42">
        <f>'FOCO ISAN'!J12</f>
        <v>219166.4480167742</v>
      </c>
      <c r="AJ13" s="44"/>
      <c r="AK13" s="44"/>
      <c r="AL13" s="44"/>
    </row>
    <row r="14" spans="1:45" ht="27" customHeight="1" x14ac:dyDescent="0.25">
      <c r="A14" s="45" t="s">
        <v>50</v>
      </c>
      <c r="B14" s="46">
        <v>4.6399999999999997</v>
      </c>
      <c r="C14" s="47">
        <f>[1]Datos!I$13*B14%</f>
        <v>45310899.947039999</v>
      </c>
      <c r="D14" s="48">
        <f t="shared" si="0"/>
        <v>6.4885126808905982</v>
      </c>
      <c r="E14" s="52">
        <v>70399</v>
      </c>
      <c r="F14" s="50">
        <f t="shared" si="1"/>
        <v>6.4885126808905982</v>
      </c>
      <c r="G14" s="50">
        <f t="shared" si="2"/>
        <v>3.8931076085343586</v>
      </c>
      <c r="H14" s="51">
        <f>[1]Datos!$K$18*Consolidado!G14/100</f>
        <v>10882164.138679232</v>
      </c>
      <c r="I14" s="48">
        <v>0.95178300000000005</v>
      </c>
      <c r="J14" s="48">
        <f t="shared" si="3"/>
        <v>4.4505724427771165</v>
      </c>
      <c r="K14" s="48">
        <f t="shared" si="4"/>
        <v>1.3351717328331349</v>
      </c>
      <c r="L14" s="52">
        <f>[1]Datos!$K$18*Consolidado!K14/100</f>
        <v>3732123.3859972609</v>
      </c>
      <c r="M14" s="53">
        <f t="shared" si="5"/>
        <v>14614287.524676494</v>
      </c>
      <c r="N14" s="48">
        <f t="shared" si="6"/>
        <v>5.2282793413674931</v>
      </c>
      <c r="O14" s="48">
        <f t="shared" si="7"/>
        <v>0.19126751550701249</v>
      </c>
      <c r="P14" s="48">
        <f t="shared" si="8"/>
        <v>3.001206438419636</v>
      </c>
      <c r="Q14" s="48">
        <f t="shared" si="9"/>
        <v>0.30012064384196363</v>
      </c>
      <c r="R14" s="54">
        <f>Q14*[1]Datos!$K$18/100</f>
        <v>838908.76803271263</v>
      </c>
      <c r="S14" s="178">
        <f>FGP!U12</f>
        <v>5.3963653133391265</v>
      </c>
      <c r="T14" s="179">
        <f>FGP!T12</f>
        <v>71992166.114082515</v>
      </c>
      <c r="U14" s="180">
        <f>FFM!S13</f>
        <v>5.0982847188217884</v>
      </c>
      <c r="V14" s="181">
        <f>FFM!N13</f>
        <v>0</v>
      </c>
      <c r="W14" s="182">
        <f>FFM!Q13</f>
        <v>23183189.067769084</v>
      </c>
      <c r="X14" s="763">
        <f>FOCO!J15</f>
        <v>4.9659685330461043</v>
      </c>
      <c r="Y14" s="767">
        <f>FOCO!L15</f>
        <v>5718010.4473106395</v>
      </c>
      <c r="Z14" s="407">
        <f>FOFIR!I13</f>
        <v>1.2733941954107182</v>
      </c>
      <c r="AA14" s="182">
        <f>FOFIR!K13</f>
        <v>3252458.8755457588</v>
      </c>
      <c r="AB14" s="407">
        <f>'IEPS TyA'!E14</f>
        <v>0.05</v>
      </c>
      <c r="AC14" s="182">
        <f>'IEPS TyA'!G14</f>
        <v>1410906.36375</v>
      </c>
      <c r="AD14" s="407">
        <f>'IEPS GyD '!F12</f>
        <v>6.3943101477498834</v>
      </c>
      <c r="AE14" s="182">
        <f>'IEPS GyD '!H12</f>
        <v>3563598.6796077644</v>
      </c>
      <c r="AF14" s="411">
        <f>FGP!F12+FGP!L12+FGP!R12</f>
        <v>5.3963653133391265</v>
      </c>
      <c r="AG14" s="358">
        <f>'Incentivo ISAN'!J13</f>
        <v>446670.54132014792</v>
      </c>
      <c r="AH14" s="43">
        <f>FGP!F12+FGP!L12+FGP!R12</f>
        <v>5.3963653133391265</v>
      </c>
      <c r="AI14" s="42">
        <f>'FOCO ISAN'!J13</f>
        <v>129408.63116050487</v>
      </c>
      <c r="AJ14" s="44"/>
      <c r="AK14" s="44"/>
      <c r="AL14" s="44"/>
    </row>
    <row r="15" spans="1:45" ht="27" customHeight="1" x14ac:dyDescent="0.25">
      <c r="A15" s="45" t="s">
        <v>51</v>
      </c>
      <c r="B15" s="46">
        <v>1.5</v>
      </c>
      <c r="C15" s="47">
        <f>[1]Datos!I$13*B15%</f>
        <v>14647920.2415</v>
      </c>
      <c r="D15" s="48">
        <f t="shared" si="0"/>
        <v>3.1613515100292262</v>
      </c>
      <c r="E15" s="52">
        <v>34300</v>
      </c>
      <c r="F15" s="50">
        <f t="shared" si="1"/>
        <v>3.1613515100292262</v>
      </c>
      <c r="G15" s="50">
        <f t="shared" si="2"/>
        <v>1.8968109060175355</v>
      </c>
      <c r="H15" s="51">
        <f>[1]Datos!$K$18*Consolidado!G15/100</f>
        <v>5302038.8067543237</v>
      </c>
      <c r="I15" s="48">
        <v>1.071404</v>
      </c>
      <c r="J15" s="48">
        <f t="shared" si="3"/>
        <v>5.0099246545495904</v>
      </c>
      <c r="K15" s="48">
        <f t="shared" si="4"/>
        <v>1.5029773963648771</v>
      </c>
      <c r="L15" s="52">
        <f>[1]Datos!$K$18*Consolidado!K15/100</f>
        <v>4201180.2314718887</v>
      </c>
      <c r="M15" s="53">
        <f t="shared" si="5"/>
        <v>9503219.0382262133</v>
      </c>
      <c r="N15" s="48">
        <f t="shared" si="6"/>
        <v>3.3997883023824125</v>
      </c>
      <c r="O15" s="48">
        <f t="shared" si="7"/>
        <v>0.29413596114182955</v>
      </c>
      <c r="P15" s="48">
        <f t="shared" si="8"/>
        <v>4.6153301986988051</v>
      </c>
      <c r="Q15" s="48">
        <f t="shared" si="9"/>
        <v>0.46153301986988055</v>
      </c>
      <c r="R15" s="54">
        <f>Q15*[1]Datos!$K$18/100</f>
        <v>1290094.8503540491</v>
      </c>
      <c r="S15" s="178">
        <f>FGP!U13</f>
        <v>3.6295907588400458</v>
      </c>
      <c r="T15" s="179">
        <f>FGP!T13</f>
        <v>32593717.364364874</v>
      </c>
      <c r="U15" s="180">
        <f>FFM!S14</f>
        <v>1.8082653286834007</v>
      </c>
      <c r="V15" s="181">
        <f>FFM!N14</f>
        <v>0.43066263392016113</v>
      </c>
      <c r="W15" s="182">
        <f>FFM!Q14</f>
        <v>7705258.7868242525</v>
      </c>
      <c r="X15" s="763">
        <f>FOCO!J16</f>
        <v>3.3901029501068018</v>
      </c>
      <c r="Y15" s="767">
        <f>FOCO!L16</f>
        <v>6178422.0691760406</v>
      </c>
      <c r="Z15" s="407">
        <f>FOFIR!I14</f>
        <v>3.1772618623460958E-3</v>
      </c>
      <c r="AA15" s="182">
        <f>FOFIR!K14</f>
        <v>1420184.0581345318</v>
      </c>
      <c r="AB15" s="407">
        <f>'IEPS TyA'!E15</f>
        <v>0.05</v>
      </c>
      <c r="AC15" s="182">
        <f>'IEPS TyA'!G15</f>
        <v>2738190.36375</v>
      </c>
      <c r="AD15" s="407">
        <f>'IEPS GyD '!F13</f>
        <v>3.5996782524025233</v>
      </c>
      <c r="AE15" s="182">
        <f>'IEPS GyD '!H13</f>
        <v>1806957.6850462726</v>
      </c>
      <c r="AF15" s="411">
        <f>FGP!F13+FGP!L13+FGP!R13</f>
        <v>3.6295907588400458</v>
      </c>
      <c r="AG15" s="358">
        <f>'Incentivo ISAN'!J14</f>
        <v>300430.22940167022</v>
      </c>
      <c r="AH15" s="43">
        <f>FGP!F13+FGP!L13+FGP!R13</f>
        <v>3.6295907588400458</v>
      </c>
      <c r="AI15" s="42">
        <f>'FOCO ISAN'!J14</f>
        <v>87040.136184492381</v>
      </c>
      <c r="AJ15" s="44"/>
      <c r="AK15" s="44"/>
      <c r="AL15" s="44"/>
    </row>
    <row r="16" spans="1:45" ht="27" customHeight="1" x14ac:dyDescent="0.25">
      <c r="A16" s="45" t="s">
        <v>52</v>
      </c>
      <c r="B16" s="46">
        <v>1.53</v>
      </c>
      <c r="C16" s="47">
        <f>[1]Datos!I$13*B16%</f>
        <v>14940878.646330001</v>
      </c>
      <c r="D16" s="48">
        <f t="shared" si="0"/>
        <v>1.050711580592804</v>
      </c>
      <c r="E16" s="52">
        <v>11400</v>
      </c>
      <c r="F16" s="50">
        <f t="shared" si="1"/>
        <v>1.050711580592804</v>
      </c>
      <c r="G16" s="50">
        <f t="shared" si="2"/>
        <v>0.63042694835568236</v>
      </c>
      <c r="H16" s="51">
        <f>[1]Datos!$K$18*Consolidado!G16/100</f>
        <v>1762193.6558891919</v>
      </c>
      <c r="I16" s="48">
        <v>1.737498</v>
      </c>
      <c r="J16" s="48">
        <f t="shared" si="3"/>
        <v>8.1246047872050173</v>
      </c>
      <c r="K16" s="48">
        <f t="shared" si="4"/>
        <v>2.4373814361615049</v>
      </c>
      <c r="L16" s="52">
        <f>[1]Datos!$K$18*Consolidado!K16/100</f>
        <v>6813062.3460636167</v>
      </c>
      <c r="M16" s="53">
        <f t="shared" si="5"/>
        <v>8575256.0019528084</v>
      </c>
      <c r="N16" s="48">
        <f t="shared" si="6"/>
        <v>3.0678083845171873</v>
      </c>
      <c r="O16" s="48">
        <f t="shared" si="7"/>
        <v>0.32596559975742434</v>
      </c>
      <c r="P16" s="48">
        <f t="shared" si="8"/>
        <v>5.1147736932852705</v>
      </c>
      <c r="Q16" s="48">
        <f t="shared" si="9"/>
        <v>0.51147736932852705</v>
      </c>
      <c r="R16" s="54">
        <f>Q16*[1]Datos!$K$18/100</f>
        <v>1429701.2171077179</v>
      </c>
      <c r="S16" s="178">
        <f>FGP!U14</f>
        <v>4.0700473326514279</v>
      </c>
      <c r="T16" s="179">
        <f>FGP!T14</f>
        <v>35064426.606751367</v>
      </c>
      <c r="U16" s="180">
        <f>FFM!S15</f>
        <v>0.54072634855434576</v>
      </c>
      <c r="V16" s="181">
        <f>FFM!N15</f>
        <v>0.17504717510431025</v>
      </c>
      <c r="W16" s="182">
        <f>FFM!Q15</f>
        <v>6993231.1928039249</v>
      </c>
      <c r="X16" s="763">
        <f>FOCO!J17</f>
        <v>3.6809613879358531</v>
      </c>
      <c r="Y16" s="767">
        <f>FOCO!L17</f>
        <v>2268418.628692504</v>
      </c>
      <c r="Z16" s="407">
        <f>FOFIR!I15</f>
        <v>7.5069748524515486E-4</v>
      </c>
      <c r="AA16" s="182">
        <f>FOFIR!K15</f>
        <v>489477.26265458926</v>
      </c>
      <c r="AB16" s="407">
        <f>'IEPS TyA'!E16</f>
        <v>0.05</v>
      </c>
      <c r="AC16" s="182">
        <f>'IEPS TyA'!G16</f>
        <v>2701092.36375</v>
      </c>
      <c r="AD16" s="407">
        <f>'IEPS GyD '!F14</f>
        <v>1.0680326827822699</v>
      </c>
      <c r="AE16" s="182">
        <f>'IEPS GyD '!H14</f>
        <v>596233.75308424712</v>
      </c>
      <c r="AF16" s="411">
        <f>FGP!F14+FGP!L14+FGP!R14</f>
        <v>4.0700473326514288</v>
      </c>
      <c r="AG16" s="358">
        <f>'Incentivo ISAN'!J15</f>
        <v>336887.9124584556</v>
      </c>
      <c r="AH16" s="43">
        <f>FGP!F14+FGP!L14+FGP!R14</f>
        <v>4.0700473326514288</v>
      </c>
      <c r="AI16" s="42">
        <f>'FOCO ISAN'!J15</f>
        <v>97602.594245232423</v>
      </c>
      <c r="AJ16" s="44"/>
      <c r="AK16" s="44"/>
      <c r="AL16" s="44"/>
    </row>
    <row r="17" spans="1:38" ht="27" customHeight="1" x14ac:dyDescent="0.25">
      <c r="A17" s="45" t="s">
        <v>53</v>
      </c>
      <c r="B17" s="46">
        <v>3.16</v>
      </c>
      <c r="C17" s="47">
        <f>[1]Datos!I$13*B17%</f>
        <v>30858285.308760002</v>
      </c>
      <c r="D17" s="48">
        <f t="shared" si="0"/>
        <v>2.5136892050445216</v>
      </c>
      <c r="E17" s="52">
        <v>27273</v>
      </c>
      <c r="F17" s="50">
        <f t="shared" si="1"/>
        <v>2.5136892050445216</v>
      </c>
      <c r="G17" s="50">
        <f t="shared" si="2"/>
        <v>1.5082135230267129</v>
      </c>
      <c r="H17" s="51">
        <f>[1]Datos!$K$18*Consolidado!G17/100</f>
        <v>4215816.4541285904</v>
      </c>
      <c r="I17" s="48">
        <v>0.789829</v>
      </c>
      <c r="J17" s="48">
        <f t="shared" si="3"/>
        <v>3.6932695602949481</v>
      </c>
      <c r="K17" s="48">
        <f t="shared" si="4"/>
        <v>1.1079808680884844</v>
      </c>
      <c r="L17" s="52">
        <f>[1]Datos!$K$18*Consolidado!K17/100</f>
        <v>3097070.7417960083</v>
      </c>
      <c r="M17" s="53">
        <f t="shared" si="5"/>
        <v>7312887.1959245987</v>
      </c>
      <c r="N17" s="48">
        <f t="shared" si="6"/>
        <v>2.6161943911151972</v>
      </c>
      <c r="O17" s="48">
        <f t="shared" si="7"/>
        <v>0.38223459365102186</v>
      </c>
      <c r="P17" s="48">
        <f t="shared" si="8"/>
        <v>5.9976986704263497</v>
      </c>
      <c r="Q17" s="48">
        <f t="shared" si="9"/>
        <v>0.59976986704263502</v>
      </c>
      <c r="R17" s="54">
        <f>Q17*[1]Datos!$K$18/100</f>
        <v>1676499.8029553366</v>
      </c>
      <c r="S17" s="178">
        <f>FGP!U15</f>
        <v>3.2056447774490451</v>
      </c>
      <c r="T17" s="179">
        <f>FGP!T15</f>
        <v>46707964.968639016</v>
      </c>
      <c r="U17" s="180">
        <f>FFM!S16</f>
        <v>2.0952818949031955</v>
      </c>
      <c r="V17" s="181">
        <f>FFM!N16</f>
        <v>0</v>
      </c>
      <c r="W17" s="182">
        <f>FFM!Q16</f>
        <v>14946942.074385945</v>
      </c>
      <c r="X17" s="763">
        <f>FOCO!J18</f>
        <v>3.0013229156570631</v>
      </c>
      <c r="Y17" s="767">
        <f>FOCO!L18</f>
        <v>2638342.0123665947</v>
      </c>
      <c r="Z17" s="407">
        <f>FOFIR!I16</f>
        <v>0.22175111615411686</v>
      </c>
      <c r="AA17" s="182">
        <f>FOFIR!K16</f>
        <v>1252019.5369448604</v>
      </c>
      <c r="AB17" s="407">
        <f>'IEPS TyA'!E17</f>
        <v>0.05</v>
      </c>
      <c r="AC17" s="182">
        <f>'IEPS TyA'!G17</f>
        <v>1709751.36375</v>
      </c>
      <c r="AD17" s="407">
        <f>'IEPS GyD '!F15</f>
        <v>2.4906650861521529</v>
      </c>
      <c r="AE17" s="182">
        <f>'IEPS GyD '!H15</f>
        <v>1437642.3214346133</v>
      </c>
      <c r="AF17" s="411">
        <f>FGP!F15+FGP!L15+FGP!R15</f>
        <v>3.2056447774490455</v>
      </c>
      <c r="AG17" s="358">
        <f>'Incentivo ISAN'!J16</f>
        <v>265339.16902991675</v>
      </c>
      <c r="AH17" s="43">
        <f>FGP!F15+FGP!L15+FGP!R15</f>
        <v>3.2056447774490455</v>
      </c>
      <c r="AI17" s="42">
        <f>'FOCO ISAN'!J16</f>
        <v>76873.613728684257</v>
      </c>
      <c r="AJ17" s="44"/>
      <c r="AK17" s="44"/>
      <c r="AL17" s="44"/>
    </row>
    <row r="18" spans="1:38" ht="27" customHeight="1" x14ac:dyDescent="0.25">
      <c r="A18" s="45" t="s">
        <v>54</v>
      </c>
      <c r="B18" s="46">
        <v>2.81</v>
      </c>
      <c r="C18" s="47">
        <f>[1]Datos!I$13*B18%</f>
        <v>27440437.252410002</v>
      </c>
      <c r="D18" s="48">
        <f t="shared" si="0"/>
        <v>1.6311836450290742</v>
      </c>
      <c r="E18" s="52">
        <v>17698</v>
      </c>
      <c r="F18" s="50">
        <f t="shared" si="1"/>
        <v>1.6311836450290742</v>
      </c>
      <c r="G18" s="50">
        <f t="shared" si="2"/>
        <v>0.9787101870174445</v>
      </c>
      <c r="H18" s="51">
        <f>[1]Datos!$K$18*Consolidado!G18/100</f>
        <v>2735728.3615725366</v>
      </c>
      <c r="I18" s="48">
        <v>1.0861320000000001</v>
      </c>
      <c r="J18" s="48">
        <f t="shared" si="3"/>
        <v>5.0787933262291878</v>
      </c>
      <c r="K18" s="48">
        <f t="shared" si="4"/>
        <v>1.5236379978687562</v>
      </c>
      <c r="L18" s="52">
        <f>[1]Datos!$K$18*Consolidado!K18/100</f>
        <v>4258931.5395210637</v>
      </c>
      <c r="M18" s="53">
        <f t="shared" si="5"/>
        <v>6994659.9010936003</v>
      </c>
      <c r="N18" s="48">
        <f t="shared" si="6"/>
        <v>2.5023481848862006</v>
      </c>
      <c r="O18" s="48">
        <f t="shared" si="7"/>
        <v>0.3996246429812792</v>
      </c>
      <c r="P18" s="48">
        <f t="shared" si="8"/>
        <v>6.2705684668267221</v>
      </c>
      <c r="Q18" s="48">
        <f t="shared" si="9"/>
        <v>0.62705684668267225</v>
      </c>
      <c r="R18" s="54">
        <f>Q18*[1]Datos!$K$18/100</f>
        <v>1752773.4180593055</v>
      </c>
      <c r="S18" s="178">
        <f>FGP!U16</f>
        <v>3.1677886526185874</v>
      </c>
      <c r="T18" s="179">
        <f>FGP!T16</f>
        <v>43102944.753992476</v>
      </c>
      <c r="U18" s="180">
        <f>FFM!S17</f>
        <v>1.0355089292135344</v>
      </c>
      <c r="V18" s="181">
        <f>FFM!N17</f>
        <v>0</v>
      </c>
      <c r="W18" s="182">
        <f>FFM!Q17</f>
        <v>12785479.717860062</v>
      </c>
      <c r="X18" s="763">
        <f>FOCO!J19</f>
        <v>3.0926730012986177</v>
      </c>
      <c r="Y18" s="767">
        <f>FOCO!L19</f>
        <v>2376156.1701622233</v>
      </c>
      <c r="Z18" s="407">
        <f>FOFIR!I17</f>
        <v>4.1020024495364474E-2</v>
      </c>
      <c r="AA18" s="182">
        <f>FOFIR!K17</f>
        <v>755573.86931369442</v>
      </c>
      <c r="AB18" s="407">
        <f>'IEPS TyA'!E18</f>
        <v>0.05</v>
      </c>
      <c r="AC18" s="182">
        <f>'IEPS TyA'!G18</f>
        <v>1825167.36375</v>
      </c>
      <c r="AD18" s="407">
        <f>'IEPS GyD '!F16</f>
        <v>1.5731764108208799</v>
      </c>
      <c r="AE18" s="182">
        <f>'IEPS GyD '!H16</f>
        <v>899615.43243660301</v>
      </c>
      <c r="AF18" s="411">
        <f>FGP!F16+FGP!L16+FGP!R16</f>
        <v>3.167788652618587</v>
      </c>
      <c r="AG18" s="358">
        <f>'Incentivo ISAN'!J17</f>
        <v>262205.72368504613</v>
      </c>
      <c r="AH18" s="43">
        <f>FGP!F16+FGP!L16+FGP!R16</f>
        <v>3.167788652618587</v>
      </c>
      <c r="AI18" s="42">
        <f>'FOCO ISAN'!J17</f>
        <v>75965.797261322194</v>
      </c>
      <c r="AJ18" s="44"/>
      <c r="AK18" s="44"/>
      <c r="AL18" s="44"/>
    </row>
    <row r="19" spans="1:38" ht="27" customHeight="1" x14ac:dyDescent="0.25">
      <c r="A19" s="45" t="s">
        <v>55</v>
      </c>
      <c r="B19" s="46">
        <v>1.6</v>
      </c>
      <c r="C19" s="47">
        <f>[1]Datos!I$13*B19%</f>
        <v>15624448.2576</v>
      </c>
      <c r="D19" s="48">
        <f t="shared" si="0"/>
        <v>1.2534804821107137</v>
      </c>
      <c r="E19" s="52">
        <v>13600</v>
      </c>
      <c r="F19" s="50">
        <f t="shared" si="1"/>
        <v>1.2534804821107137</v>
      </c>
      <c r="G19" s="50">
        <f t="shared" si="2"/>
        <v>0.75208828926642823</v>
      </c>
      <c r="H19" s="51">
        <f>[1]Datos!$K$18*Consolidado!G19/100</f>
        <v>2102266.1157976328</v>
      </c>
      <c r="I19" s="48">
        <v>0.84773799999999999</v>
      </c>
      <c r="J19" s="48">
        <f t="shared" si="3"/>
        <v>3.9640541819878972</v>
      </c>
      <c r="K19" s="48">
        <f t="shared" si="4"/>
        <v>1.1892162545963691</v>
      </c>
      <c r="L19" s="52">
        <f>[1]Datos!$K$18*Consolidado!K19/100</f>
        <v>3324143.0189429163</v>
      </c>
      <c r="M19" s="53">
        <f t="shared" si="5"/>
        <v>5426409.1347405491</v>
      </c>
      <c r="N19" s="48">
        <f t="shared" si="6"/>
        <v>1.9413045438627974</v>
      </c>
      <c r="O19" s="48">
        <f t="shared" si="7"/>
        <v>0.51511752916943432</v>
      </c>
      <c r="P19" s="48">
        <f t="shared" si="8"/>
        <v>8.0827841622141037</v>
      </c>
      <c r="Q19" s="48">
        <f t="shared" si="9"/>
        <v>0.80827841622141039</v>
      </c>
      <c r="R19" s="54">
        <f>Q19*[1]Datos!$K$18/100</f>
        <v>2259330.9200575752</v>
      </c>
      <c r="S19" s="178">
        <f>FGP!U17</f>
        <v>2.8145431996763457</v>
      </c>
      <c r="T19" s="179">
        <f>FGP!T17</f>
        <v>29540403.143674407</v>
      </c>
      <c r="U19" s="180">
        <f>FFM!S18</f>
        <v>0.7782511536685992</v>
      </c>
      <c r="V19" s="181">
        <f>FFM!N18</f>
        <v>0</v>
      </c>
      <c r="W19" s="182">
        <f>FFM!Q18</f>
        <v>7395296.4741560677</v>
      </c>
      <c r="X19" s="763">
        <f>FOCO!J20</f>
        <v>3.4332203851565897</v>
      </c>
      <c r="Y19" s="767">
        <f>FOCO!L20</f>
        <v>2453180.6056784894</v>
      </c>
      <c r="Z19" s="407">
        <f>FOFIR!I18</f>
        <v>2.186606798601131E-2</v>
      </c>
      <c r="AA19" s="182">
        <f>FOFIR!K18</f>
        <v>565476.32312196691</v>
      </c>
      <c r="AB19" s="407">
        <f>'IEPS TyA'!E19</f>
        <v>0.05</v>
      </c>
      <c r="AC19" s="182">
        <f>'IEPS TyA'!G19</f>
        <v>2616591.36375</v>
      </c>
      <c r="AD19" s="407">
        <f>'IEPS GyD '!F17</f>
        <v>1.212057067863342</v>
      </c>
      <c r="AE19" s="182">
        <f>'IEPS GyD '!H17</f>
        <v>680646.26095021388</v>
      </c>
      <c r="AF19" s="411">
        <f>FGP!F17+FGP!L17+FGP!R17</f>
        <v>2.8145431996763453</v>
      </c>
      <c r="AG19" s="358">
        <f>'Incentivo ISAN'!J18</f>
        <v>232966.72140798211</v>
      </c>
      <c r="AH19" s="43">
        <f>FGP!F17+FGP!L17+FGP!R17</f>
        <v>2.8145431996763453</v>
      </c>
      <c r="AI19" s="42">
        <f>'FOCO ISAN'!J18</f>
        <v>67494.723144836535</v>
      </c>
      <c r="AJ19" s="44"/>
      <c r="AK19" s="44"/>
      <c r="AL19" s="44"/>
    </row>
    <row r="20" spans="1:38" ht="27" customHeight="1" x14ac:dyDescent="0.25">
      <c r="A20" s="45" t="s">
        <v>56</v>
      </c>
      <c r="B20" s="46">
        <v>2.84</v>
      </c>
      <c r="C20" s="47">
        <f>[1]Datos!I$13*B20%</f>
        <v>27733395.65724</v>
      </c>
      <c r="D20" s="48">
        <f t="shared" si="0"/>
        <v>3.1699231045024834</v>
      </c>
      <c r="E20" s="52">
        <v>34393</v>
      </c>
      <c r="F20" s="50">
        <f t="shared" si="1"/>
        <v>3.1699231045024834</v>
      </c>
      <c r="G20" s="50">
        <f t="shared" si="2"/>
        <v>1.90195386270149</v>
      </c>
      <c r="H20" s="51">
        <f>[1]Datos!$K$18*Consolidado!G20/100</f>
        <v>5316414.5971049992</v>
      </c>
      <c r="I20" s="48">
        <v>1.369108</v>
      </c>
      <c r="J20" s="48">
        <f t="shared" si="3"/>
        <v>6.4019995482013146</v>
      </c>
      <c r="K20" s="48">
        <f t="shared" si="4"/>
        <v>1.9205998644603943</v>
      </c>
      <c r="L20" s="52">
        <f>[1]Datos!$K$18*Consolidado!K20/100</f>
        <v>5368534.6184539311</v>
      </c>
      <c r="M20" s="53">
        <f t="shared" si="5"/>
        <v>10684949.215558931</v>
      </c>
      <c r="N20" s="48">
        <f t="shared" si="6"/>
        <v>3.8225537271618846</v>
      </c>
      <c r="O20" s="48">
        <f t="shared" si="7"/>
        <v>0.26160521770938344</v>
      </c>
      <c r="P20" s="48">
        <f t="shared" si="8"/>
        <v>4.1048855663354225</v>
      </c>
      <c r="Q20" s="48">
        <f t="shared" si="9"/>
        <v>0.41048855663354228</v>
      </c>
      <c r="R20" s="54">
        <f>Q20*[1]Datos!$K$18/100</f>
        <v>1147413.4032522747</v>
      </c>
      <c r="S20" s="178">
        <f>FGP!U18</f>
        <v>3.814501471077032</v>
      </c>
      <c r="T20" s="179">
        <f>FGP!T18</f>
        <v>46593447.402218215</v>
      </c>
      <c r="U20" s="180">
        <f>FFM!S19</f>
        <v>1.6053285425059347</v>
      </c>
      <c r="V20" s="181">
        <f>FFM!N19</f>
        <v>19.045359133028132</v>
      </c>
      <c r="W20" s="182">
        <f>FFM!Q19</f>
        <v>18252882.226369433</v>
      </c>
      <c r="X20" s="763">
        <f>FOCO!J21</f>
        <v>3.1007349680773708</v>
      </c>
      <c r="Y20" s="767">
        <f>FOCO!L21</f>
        <v>4464911.7543959245</v>
      </c>
      <c r="Z20" s="407">
        <f>FOFIR!I19</f>
        <v>5.11521184262623E-2</v>
      </c>
      <c r="AA20" s="182">
        <f>FOFIR!K19</f>
        <v>1507551.4171483242</v>
      </c>
      <c r="AB20" s="407">
        <f>'IEPS TyA'!E20</f>
        <v>0.05</v>
      </c>
      <c r="AC20" s="182">
        <f>'IEPS TyA'!G20</f>
        <v>1812801.36375</v>
      </c>
      <c r="AD20" s="407">
        <f>'IEPS GyD '!F18</f>
        <v>2.8704119215951907</v>
      </c>
      <c r="AE20" s="182">
        <f>'IEPS GyD '!H18</f>
        <v>1760555.174978917</v>
      </c>
      <c r="AF20" s="411">
        <f>FGP!F18+FGP!L18+FGP!R18</f>
        <v>3.8145014710770324</v>
      </c>
      <c r="AG20" s="358">
        <f>'Incentivo ISAN'!J19</f>
        <v>315735.74767831963</v>
      </c>
      <c r="AH20" s="43">
        <f>FGP!F18+FGP!L18+FGP!R18</f>
        <v>3.8145014710770324</v>
      </c>
      <c r="AI20" s="42">
        <f>'FOCO ISAN'!J19</f>
        <v>91474.42496371067</v>
      </c>
      <c r="AJ20" s="44"/>
      <c r="AK20" s="44"/>
      <c r="AL20" s="44"/>
    </row>
    <row r="21" spans="1:38" ht="27" customHeight="1" x14ac:dyDescent="0.25">
      <c r="A21" s="45" t="s">
        <v>57</v>
      </c>
      <c r="B21" s="46">
        <v>3.33</v>
      </c>
      <c r="C21" s="47">
        <f>[1]Datos!I$13*B21%</f>
        <v>32518382.936130002</v>
      </c>
      <c r="D21" s="48">
        <f t="shared" si="0"/>
        <v>2.1630833407835541</v>
      </c>
      <c r="E21" s="52">
        <v>23469</v>
      </c>
      <c r="F21" s="50">
        <f t="shared" si="1"/>
        <v>2.1630833407835541</v>
      </c>
      <c r="G21" s="50">
        <f t="shared" si="2"/>
        <v>1.2978500044701324</v>
      </c>
      <c r="H21" s="51">
        <f>[1]Datos!$K$18*Consolidado!G21/100</f>
        <v>3627800.2552687232</v>
      </c>
      <c r="I21" s="48">
        <v>0.71338900000000005</v>
      </c>
      <c r="J21" s="48">
        <f t="shared" si="3"/>
        <v>3.3358332985358259</v>
      </c>
      <c r="K21" s="48">
        <f t="shared" si="4"/>
        <v>1.0007499895607477</v>
      </c>
      <c r="L21" s="52">
        <f>[1]Datos!$K$18*Consolidado!K21/100</f>
        <v>2797334.8654191126</v>
      </c>
      <c r="M21" s="53">
        <f t="shared" si="5"/>
        <v>6425135.1206878358</v>
      </c>
      <c r="N21" s="48">
        <f t="shared" si="6"/>
        <v>2.2985999940308801</v>
      </c>
      <c r="O21" s="48">
        <f t="shared" si="7"/>
        <v>0.4350474212985514</v>
      </c>
      <c r="P21" s="48">
        <f t="shared" si="8"/>
        <v>6.8263924397094096</v>
      </c>
      <c r="Q21" s="48">
        <f t="shared" si="9"/>
        <v>0.682639243970941</v>
      </c>
      <c r="R21" s="54">
        <f>Q21*[1]Datos!$K$18/100</f>
        <v>1908139.4729780732</v>
      </c>
      <c r="S21" s="178">
        <f>FGP!U19</f>
        <v>3.0792318274418586</v>
      </c>
      <c r="T21" s="179">
        <f>FGP!T19</f>
        <v>47743038.645579726</v>
      </c>
      <c r="U21" s="180">
        <f>FFM!S20</f>
        <v>1.2435660159696065</v>
      </c>
      <c r="V21" s="181">
        <f>FFM!N20</f>
        <v>0</v>
      </c>
      <c r="W21" s="182">
        <f>FFM!Q20</f>
        <v>15161520.717516493</v>
      </c>
      <c r="X21" s="763">
        <f>FOCO!J22</f>
        <v>2.9619183256372441</v>
      </c>
      <c r="Y21" s="767">
        <f>FOCO!L22</f>
        <v>2562002.2483171388</v>
      </c>
      <c r="Z21" s="407">
        <f>FOFIR!I20</f>
        <v>4.3027250544253805E-2</v>
      </c>
      <c r="AA21" s="182">
        <f>FOFIR!K20</f>
        <v>985307.55028980761</v>
      </c>
      <c r="AB21" s="407">
        <f>'IEPS TyA'!E21</f>
        <v>0.05</v>
      </c>
      <c r="AC21" s="182">
        <f>'IEPS TyA'!G21</f>
        <v>1662348.36375</v>
      </c>
      <c r="AD21" s="407">
        <f>'IEPS GyD '!F19</f>
        <v>2.0950002116760511</v>
      </c>
      <c r="AE21" s="182">
        <f>'IEPS GyD '!H19</f>
        <v>1182246.0104953642</v>
      </c>
      <c r="AF21" s="411">
        <f>FGP!F19+FGP!L19+FGP!R19</f>
        <v>3.0792318274418586</v>
      </c>
      <c r="AG21" s="358">
        <f>'Incentivo ISAN'!J20</f>
        <v>254875.65562210267</v>
      </c>
      <c r="AH21" s="43">
        <f>FGP!F19+FGP!L19+FGP!R19</f>
        <v>3.0792318274418586</v>
      </c>
      <c r="AI21" s="42">
        <f>'FOCO ISAN'!J20</f>
        <v>73842.142382414546</v>
      </c>
      <c r="AJ21" s="44"/>
      <c r="AK21" s="44"/>
      <c r="AL21" s="44"/>
    </row>
    <row r="22" spans="1:38" ht="27" customHeight="1" x14ac:dyDescent="0.25">
      <c r="A22" s="45" t="s">
        <v>58</v>
      </c>
      <c r="B22" s="46">
        <v>4.6900000000000004</v>
      </c>
      <c r="C22" s="47">
        <f>[1]Datos!I$13*B22%</f>
        <v>45799163.955090009</v>
      </c>
      <c r="D22" s="48">
        <f t="shared" si="0"/>
        <v>3.9742704697510276</v>
      </c>
      <c r="E22" s="52">
        <v>43120</v>
      </c>
      <c r="F22" s="50">
        <f t="shared" si="1"/>
        <v>3.9742704697510276</v>
      </c>
      <c r="G22" s="50">
        <f t="shared" si="2"/>
        <v>2.3845622818506165</v>
      </c>
      <c r="H22" s="51">
        <f>[1]Datos!$K$18*Consolidado!G22/100</f>
        <v>6665420.2142054355</v>
      </c>
      <c r="I22" s="48">
        <v>0.39641700000000002</v>
      </c>
      <c r="J22" s="48">
        <f t="shared" si="3"/>
        <v>1.8536605256118004</v>
      </c>
      <c r="K22" s="48">
        <f t="shared" si="4"/>
        <v>0.5560981576835401</v>
      </c>
      <c r="L22" s="52">
        <f>[1]Datos!$K$18*Consolidado!K22/100</f>
        <v>1554426.96108974</v>
      </c>
      <c r="M22" s="53">
        <f t="shared" si="5"/>
        <v>8219847.175295176</v>
      </c>
      <c r="N22" s="48">
        <f t="shared" si="6"/>
        <v>2.9406604395341565</v>
      </c>
      <c r="O22" s="48">
        <f t="shared" si="7"/>
        <v>0.3400596636578736</v>
      </c>
      <c r="P22" s="48">
        <f t="shared" si="8"/>
        <v>5.3359257023412736</v>
      </c>
      <c r="Q22" s="48">
        <f t="shared" si="9"/>
        <v>0.53359257023412743</v>
      </c>
      <c r="R22" s="54">
        <f>Q22*[1]Datos!$K$18/100</f>
        <v>1491518.4773568413</v>
      </c>
      <c r="S22" s="178">
        <f>FGP!U20</f>
        <v>3.9687689066587866</v>
      </c>
      <c r="T22" s="179">
        <f>FGP!T20</f>
        <v>65421960.672038443</v>
      </c>
      <c r="U22" s="180">
        <f>FFM!S21</f>
        <v>2.3468823289689285</v>
      </c>
      <c r="V22" s="181">
        <f>FFM!N21</f>
        <v>0</v>
      </c>
      <c r="W22" s="182">
        <f>FFM!Q21</f>
        <v>21717582.508939896</v>
      </c>
      <c r="X22" s="763">
        <f>FOCO!J23</f>
        <v>3.4479406570776314</v>
      </c>
      <c r="Y22" s="767">
        <f>FOCO!L23</f>
        <v>3275847.6835580156</v>
      </c>
      <c r="Z22" s="407">
        <f>FOFIR!I21</f>
        <v>0.18918907162926935</v>
      </c>
      <c r="AA22" s="182">
        <f>FOFIR!K21</f>
        <v>1790167.5443937231</v>
      </c>
      <c r="AB22" s="407">
        <f>'IEPS TyA'!E22</f>
        <v>0.05</v>
      </c>
      <c r="AC22" s="182">
        <f>'IEPS TyA'!G22</f>
        <v>1404723.36375</v>
      </c>
      <c r="AD22" s="407">
        <f>'IEPS GyD '!F20</f>
        <v>3.7237204182718768</v>
      </c>
      <c r="AE22" s="182">
        <f>'IEPS GyD '!H20</f>
        <v>2109865.5235228399</v>
      </c>
      <c r="AF22" s="411">
        <f>FGP!F20+FGP!L20+FGP!R20</f>
        <v>3.9687689066587861</v>
      </c>
      <c r="AG22" s="358">
        <f>'Incentivo ISAN'!J21</f>
        <v>328504.84594322852</v>
      </c>
      <c r="AH22" s="43">
        <f>FGP!F20+FGP!L20+FGP!R20</f>
        <v>3.9687689066587861</v>
      </c>
      <c r="AI22" s="42">
        <f>'FOCO ISAN'!J21</f>
        <v>95173.866441834631</v>
      </c>
      <c r="AJ22" s="44"/>
      <c r="AK22" s="44"/>
      <c r="AL22" s="44"/>
    </row>
    <row r="23" spans="1:38" ht="27" customHeight="1" x14ac:dyDescent="0.25">
      <c r="A23" s="45" t="s">
        <v>59</v>
      </c>
      <c r="B23" s="46">
        <v>2.13</v>
      </c>
      <c r="C23" s="47">
        <f>[1]Datos!I$13*B23%</f>
        <v>20800046.742929999</v>
      </c>
      <c r="D23" s="48">
        <f t="shared" si="0"/>
        <v>0.69217929563613667</v>
      </c>
      <c r="E23" s="52">
        <v>7510</v>
      </c>
      <c r="F23" s="50">
        <f t="shared" si="1"/>
        <v>0.69217929563613667</v>
      </c>
      <c r="G23" s="50">
        <f t="shared" si="2"/>
        <v>0.415307577381682</v>
      </c>
      <c r="H23" s="51">
        <f>[1]Datos!$K$18*Consolidado!G23/100</f>
        <v>1160883.7154147222</v>
      </c>
      <c r="I23" s="48">
        <v>0.79456599999999999</v>
      </c>
      <c r="J23" s="48">
        <f t="shared" si="3"/>
        <v>3.7154199471598481</v>
      </c>
      <c r="K23" s="48">
        <f t="shared" si="4"/>
        <v>1.1146259841479544</v>
      </c>
      <c r="L23" s="52">
        <f>[1]Datos!$K$18*Consolidado!K23/100</f>
        <v>3115645.4258148116</v>
      </c>
      <c r="M23" s="53">
        <f t="shared" si="5"/>
        <v>4276529.1412295336</v>
      </c>
      <c r="N23" s="48">
        <f t="shared" si="6"/>
        <v>1.5299335615296363</v>
      </c>
      <c r="O23" s="48">
        <f t="shared" si="7"/>
        <v>0.65362315406702642</v>
      </c>
      <c r="P23" s="48">
        <f t="shared" si="8"/>
        <v>10.256096091833161</v>
      </c>
      <c r="Q23" s="48">
        <f t="shared" si="9"/>
        <v>1.0256096091833162</v>
      </c>
      <c r="R23" s="54">
        <f>Q23*[1]Datos!$K$18/100</f>
        <v>2866823.43043203</v>
      </c>
      <c r="S23" s="178">
        <f>FGP!U21</f>
        <v>2.5568285677800717</v>
      </c>
      <c r="T23" s="179">
        <f>FGP!T21</f>
        <v>33441782.355566986</v>
      </c>
      <c r="U23" s="180">
        <f>FFM!S22</f>
        <v>0.4500074260960979</v>
      </c>
      <c r="V23" s="181">
        <f>FFM!N22</f>
        <v>0</v>
      </c>
      <c r="W23" s="182">
        <f>FFM!Q22</f>
        <v>9486761.4784824662</v>
      </c>
      <c r="X23" s="763">
        <f>FOCO!J24</f>
        <v>5.3786025853646846</v>
      </c>
      <c r="Y23" s="767">
        <f>FOCO!L24</f>
        <v>1718993.6360916118</v>
      </c>
      <c r="Z23" s="407">
        <f>FOFIR!I22</f>
        <v>8.815061178024771E-3</v>
      </c>
      <c r="AA23" s="182">
        <f>FOFIR!K22</f>
        <v>332880.76550520136</v>
      </c>
      <c r="AB23" s="407">
        <f>'IEPS TyA'!E23</f>
        <v>0.05</v>
      </c>
      <c r="AC23" s="182">
        <f>'IEPS TyA'!G23</f>
        <v>2159049.36375</v>
      </c>
      <c r="AD23" s="407">
        <f>'IEPS GyD '!F21</f>
        <v>0.63494348249439059</v>
      </c>
      <c r="AE23" s="182">
        <f>'IEPS GyD '!H21</f>
        <v>389487.40773773339</v>
      </c>
      <c r="AF23" s="411">
        <f>FGP!F21+FGP!L21+FGP!R21</f>
        <v>2.5568285677800713</v>
      </c>
      <c r="AG23" s="358">
        <f>'Incentivo ISAN'!J22</f>
        <v>211635.04212921177</v>
      </c>
      <c r="AH23" s="43">
        <f>FGP!F21+FGP!L21+FGP!R21</f>
        <v>2.5568285677800713</v>
      </c>
      <c r="AI23" s="42">
        <f>'FOCO ISAN'!J22</f>
        <v>61314.545227434981</v>
      </c>
      <c r="AJ23" s="44"/>
      <c r="AK23" s="44"/>
      <c r="AL23" s="44"/>
    </row>
    <row r="24" spans="1:38" ht="27" customHeight="1" x14ac:dyDescent="0.25">
      <c r="A24" s="45" t="s">
        <v>60</v>
      </c>
      <c r="B24" s="46">
        <v>2.81</v>
      </c>
      <c r="C24" s="47">
        <f>[1]Datos!I$13*B24%</f>
        <v>27440437.252410002</v>
      </c>
      <c r="D24" s="48">
        <f t="shared" si="0"/>
        <v>2.0656621003724496</v>
      </c>
      <c r="E24" s="52">
        <v>22412</v>
      </c>
      <c r="F24" s="50">
        <f t="shared" si="1"/>
        <v>2.0656621003724496</v>
      </c>
      <c r="G24" s="50">
        <f t="shared" si="2"/>
        <v>1.2393972602234697</v>
      </c>
      <c r="H24" s="51">
        <f>[1]Datos!$K$18*Consolidado!G24/100</f>
        <v>3464410.8961218046</v>
      </c>
      <c r="I24" s="48">
        <v>1.099386</v>
      </c>
      <c r="J24" s="48">
        <f t="shared" si="3"/>
        <v>5.1407695194965264</v>
      </c>
      <c r="K24" s="48">
        <f t="shared" si="4"/>
        <v>1.5422308558489579</v>
      </c>
      <c r="L24" s="52">
        <f>[1]Datos!$K$18*Consolidado!K24/100</f>
        <v>4310903.0113355508</v>
      </c>
      <c r="M24" s="53">
        <f t="shared" si="5"/>
        <v>7775313.9074573554</v>
      </c>
      <c r="N24" s="48">
        <f t="shared" si="6"/>
        <v>2.7816281160724277</v>
      </c>
      <c r="O24" s="48">
        <f t="shared" si="7"/>
        <v>0.35950168687968576</v>
      </c>
      <c r="P24" s="48">
        <f t="shared" si="8"/>
        <v>5.6409933198848687</v>
      </c>
      <c r="Q24" s="48">
        <f t="shared" si="9"/>
        <v>0.56409933198848694</v>
      </c>
      <c r="R24" s="54">
        <f>Q24*[1]Datos!$K$18/100</f>
        <v>1576792.1512780979</v>
      </c>
      <c r="S24" s="178">
        <f>FGP!U22</f>
        <v>3.0448340829893383</v>
      </c>
      <c r="T24" s="179">
        <f>FGP!T22</f>
        <v>42495020.084655695</v>
      </c>
      <c r="U24" s="180">
        <f>FFM!S23</f>
        <v>1.326967068709763</v>
      </c>
      <c r="V24" s="181">
        <f>FFM!N23</f>
        <v>0</v>
      </c>
      <c r="W24" s="182">
        <f>FFM!Q23</f>
        <v>12963638.655983914</v>
      </c>
      <c r="X24" s="763">
        <f>FOCO!J25</f>
        <v>2.967524001068194</v>
      </c>
      <c r="Y24" s="767">
        <f>FOCO!L25</f>
        <v>2327870.7790287538</v>
      </c>
      <c r="Z24" s="407">
        <f>FOFIR!I23</f>
        <v>6.9351934871220336E-2</v>
      </c>
      <c r="AA24" s="182">
        <f>FOFIR!K23</f>
        <v>1022984.9757358652</v>
      </c>
      <c r="AB24" s="407">
        <f>'IEPS TyA'!E24</f>
        <v>0.05</v>
      </c>
      <c r="AC24" s="182">
        <f>'IEPS TyA'!G24</f>
        <v>1825167.36375</v>
      </c>
      <c r="AD24" s="407">
        <f>'IEPS GyD '!F22</f>
        <v>1.9878074594640365</v>
      </c>
      <c r="AE24" s="182">
        <f>'IEPS GyD '!H22</f>
        <v>1192923.1410166377</v>
      </c>
      <c r="AF24" s="411">
        <f>FGP!F22+FGP!L22+FGP!R22</f>
        <v>3.0448340829893388</v>
      </c>
      <c r="AG24" s="358">
        <f>'Incentivo ISAN'!J23</f>
        <v>252028.46899876185</v>
      </c>
      <c r="AH24" s="43">
        <f>FGP!F22+FGP!L22+FGP!R22</f>
        <v>3.0448340829893388</v>
      </c>
      <c r="AI24" s="42">
        <f>'FOCO ISAN'!J23</f>
        <v>73017.260306027631</v>
      </c>
      <c r="AJ24" s="44"/>
      <c r="AK24" s="44"/>
      <c r="AL24" s="44"/>
    </row>
    <row r="25" spans="1:38" ht="27" customHeight="1" x14ac:dyDescent="0.25">
      <c r="A25" s="45" t="s">
        <v>61</v>
      </c>
      <c r="B25" s="46">
        <v>8.34</v>
      </c>
      <c r="C25" s="47">
        <f>[1]Datos!I$13*B25%</f>
        <v>81442436.542740002</v>
      </c>
      <c r="D25" s="48">
        <f t="shared" si="0"/>
        <v>8.5784148817626882</v>
      </c>
      <c r="E25" s="52">
        <v>93074</v>
      </c>
      <c r="F25" s="50">
        <f t="shared" si="1"/>
        <v>8.5784148817626882</v>
      </c>
      <c r="G25" s="50">
        <f t="shared" si="2"/>
        <v>5.1470489290576129</v>
      </c>
      <c r="H25" s="51">
        <f>[1]Datos!$K$18*Consolidado!G25/100</f>
        <v>14387229.15159918</v>
      </c>
      <c r="I25" s="48">
        <v>0.94212600000000002</v>
      </c>
      <c r="J25" s="48">
        <f t="shared" si="3"/>
        <v>4.4054159542919269</v>
      </c>
      <c r="K25" s="48">
        <f t="shared" si="4"/>
        <v>1.3216247862875781</v>
      </c>
      <c r="L25" s="52">
        <f>[1]Datos!$K$18*Consolidado!K25/100</f>
        <v>3694256.4399196613</v>
      </c>
      <c r="M25" s="53">
        <f t="shared" si="5"/>
        <v>18081485.591518842</v>
      </c>
      <c r="N25" s="48">
        <f t="shared" si="6"/>
        <v>6.468673715345191</v>
      </c>
      <c r="O25" s="48">
        <f t="shared" si="7"/>
        <v>0.1545911950432387</v>
      </c>
      <c r="P25" s="48">
        <f t="shared" si="8"/>
        <v>2.4257129531739197</v>
      </c>
      <c r="Q25" s="48">
        <f t="shared" si="9"/>
        <v>0.24257129531739197</v>
      </c>
      <c r="R25" s="54">
        <f>Q25*[1]Datos!$K$18/100</f>
        <v>678044.61535797687</v>
      </c>
      <c r="S25" s="178">
        <f>FGP!U23</f>
        <v>6.4580166897572191</v>
      </c>
      <c r="T25" s="179">
        <f>FGP!T23</f>
        <v>113372828.98386917</v>
      </c>
      <c r="U25" s="180">
        <f>FFM!S24</f>
        <v>5.3211431037796419</v>
      </c>
      <c r="V25" s="181">
        <f>FFM!N24</f>
        <v>63.082353885859412</v>
      </c>
      <c r="W25" s="182">
        <f>FFM!Q24</f>
        <v>55846737.839279562</v>
      </c>
      <c r="X25" s="763">
        <f>FOCO!J26</f>
        <v>6.1759796951230719</v>
      </c>
      <c r="Y25" s="767">
        <f>FOCO!L26</f>
        <v>7778612.1262630029</v>
      </c>
      <c r="Z25" s="407">
        <f>FOFIR!I24</f>
        <v>1.0236859371548632</v>
      </c>
      <c r="AA25" s="182">
        <f>FOFIR!K24</f>
        <v>4179538.9868338723</v>
      </c>
      <c r="AB25" s="407">
        <f>'IEPS TyA'!E25</f>
        <v>0.05</v>
      </c>
      <c r="AC25" s="182">
        <f>'IEPS TyA'!G25</f>
        <v>1128549.36375</v>
      </c>
      <c r="AD25" s="407">
        <f>'IEPS GyD '!F23</f>
        <v>8.2824605224164927</v>
      </c>
      <c r="AE25" s="182">
        <f>'IEPS GyD '!H23</f>
        <v>4729488.0541145597</v>
      </c>
      <c r="AF25" s="411">
        <f>FGP!F23+FGP!L23+FGP!R23</f>
        <v>6.4580166897572191</v>
      </c>
      <c r="AG25" s="358">
        <f>'Incentivo ISAN'!J24</f>
        <v>534546.05890709977</v>
      </c>
      <c r="AH25" s="43">
        <f>FGP!F23+FGP!L23+FGP!R23</f>
        <v>6.4580166897572191</v>
      </c>
      <c r="AI25" s="42">
        <f>'FOCO ISAN'!J24</f>
        <v>154867.77697710268</v>
      </c>
      <c r="AJ25" s="44"/>
      <c r="AK25" s="44"/>
      <c r="AL25" s="44"/>
    </row>
    <row r="26" spans="1:38" ht="27" customHeight="1" x14ac:dyDescent="0.25">
      <c r="A26" s="45" t="s">
        <v>62</v>
      </c>
      <c r="B26" s="46">
        <v>3.5</v>
      </c>
      <c r="C26" s="47">
        <f>[1]Datos!I$13*B26%</f>
        <v>34178480.563500002</v>
      </c>
      <c r="D26" s="48">
        <f t="shared" si="0"/>
        <v>3.6642183857936419</v>
      </c>
      <c r="E26" s="52">
        <v>39756</v>
      </c>
      <c r="F26" s="50">
        <f t="shared" si="1"/>
        <v>3.6642183857936419</v>
      </c>
      <c r="G26" s="50">
        <f t="shared" si="2"/>
        <v>2.1985310314761852</v>
      </c>
      <c r="H26" s="51">
        <f>[1]Datos!$K$18*Consolidado!G26/100</f>
        <v>6145418.5073272558</v>
      </c>
      <c r="I26" s="48">
        <v>2.345564</v>
      </c>
      <c r="J26" s="48">
        <f t="shared" si="3"/>
        <v>10.967943849774647</v>
      </c>
      <c r="K26" s="48">
        <f t="shared" si="4"/>
        <v>3.2903831549323939</v>
      </c>
      <c r="L26" s="52">
        <f>[1]Datos!$K$18*Consolidado!K26/100</f>
        <v>9197405.5617228691</v>
      </c>
      <c r="M26" s="53">
        <f t="shared" si="5"/>
        <v>15342824.069050126</v>
      </c>
      <c r="N26" s="48">
        <f t="shared" si="6"/>
        <v>5.4889141864085786</v>
      </c>
      <c r="O26" s="48">
        <f t="shared" si="7"/>
        <v>0.18218539515085852</v>
      </c>
      <c r="P26" s="48">
        <f t="shared" si="8"/>
        <v>2.8586975653622453</v>
      </c>
      <c r="Q26" s="48">
        <f t="shared" si="9"/>
        <v>0.28586975653622454</v>
      </c>
      <c r="R26" s="54">
        <f>Q26*[1]Datos!$K$18/100</f>
        <v>799074.13966464216</v>
      </c>
      <c r="S26" s="178">
        <f>FGP!U24</f>
        <v>3.6739352083662298</v>
      </c>
      <c r="T26" s="179">
        <f>FGP!T24</f>
        <v>52343530.089072756</v>
      </c>
      <c r="U26" s="180">
        <f>FFM!S25</f>
        <v>1.9972706283684072</v>
      </c>
      <c r="V26" s="181">
        <f>FFM!N25</f>
        <v>0</v>
      </c>
      <c r="W26" s="182">
        <f>FFM!Q25</f>
        <v>16357441.005359463</v>
      </c>
      <c r="X26" s="763">
        <f>FOCO!J27</f>
        <v>3.2856538811834932</v>
      </c>
      <c r="Y26" s="767">
        <f>FOCO!L27</f>
        <v>4123140.3940261058</v>
      </c>
      <c r="Z26" s="407">
        <f>FOFIR!I25</f>
        <v>0.1112473511322358</v>
      </c>
      <c r="AA26" s="182">
        <f>FOFIR!K25</f>
        <v>1756745.930881683</v>
      </c>
      <c r="AB26" s="407">
        <f>'IEPS TyA'!E26</f>
        <v>0.05</v>
      </c>
      <c r="AC26" s="182">
        <f>'IEPS TyA'!G26</f>
        <v>1619067.36375</v>
      </c>
      <c r="AD26" s="407">
        <f>'IEPS GyD '!F24</f>
        <v>3.3629397569958934</v>
      </c>
      <c r="AE26" s="182">
        <f>'IEPS GyD '!H24</f>
        <v>2042554.2676193221</v>
      </c>
      <c r="AF26" s="411">
        <f>FGP!F24+FGP!L24+FGP!R24</f>
        <v>3.6739352083662298</v>
      </c>
      <c r="AG26" s="358">
        <f>'Incentivo ISAN'!J25</f>
        <v>304100.72947427345</v>
      </c>
      <c r="AH26" s="43">
        <f>FGP!F24+FGP!L24+FGP!R24</f>
        <v>3.6739352083662298</v>
      </c>
      <c r="AI26" s="42">
        <f>'FOCO ISAN'!J25</f>
        <v>88103.547236106067</v>
      </c>
      <c r="AJ26" s="44"/>
      <c r="AK26" s="44"/>
      <c r="AL26" s="44"/>
    </row>
    <row r="27" spans="1:38" ht="27" customHeight="1" x14ac:dyDescent="0.25">
      <c r="A27" s="45" t="s">
        <v>63</v>
      </c>
      <c r="B27" s="46">
        <v>39</v>
      </c>
      <c r="C27" s="47">
        <f>[1]Datos!I$13*B27%</f>
        <v>380845926.27900004</v>
      </c>
      <c r="D27" s="48">
        <f t="shared" si="0"/>
        <v>35.046669106037996</v>
      </c>
      <c r="E27" s="52">
        <v>380249</v>
      </c>
      <c r="F27" s="50">
        <f t="shared" si="1"/>
        <v>35.046669106037996</v>
      </c>
      <c r="G27" s="50">
        <f t="shared" si="2"/>
        <v>21.028001463622797</v>
      </c>
      <c r="H27" s="51">
        <f>[1]Datos!$K$18*Consolidado!G27/100</f>
        <v>58778278.548965737</v>
      </c>
      <c r="I27" s="48">
        <v>0.84406499999999995</v>
      </c>
      <c r="J27" s="48">
        <f t="shared" si="3"/>
        <v>3.9468790984002302</v>
      </c>
      <c r="K27" s="48">
        <f t="shared" si="4"/>
        <v>1.1840637295200691</v>
      </c>
      <c r="L27" s="52">
        <f>[1]Datos!$K$18*Consolidado!K27/100</f>
        <v>3309740.482653901</v>
      </c>
      <c r="M27" s="53">
        <f t="shared" si="5"/>
        <v>62088019.031619638</v>
      </c>
      <c r="N27" s="48">
        <f t="shared" si="6"/>
        <v>22.212065193142866</v>
      </c>
      <c r="O27" s="48">
        <f t="shared" si="7"/>
        <v>4.5020577389116981E-2</v>
      </c>
      <c r="P27" s="48">
        <f t="shared" si="8"/>
        <v>0.7064244357617202</v>
      </c>
      <c r="Q27" s="48">
        <f t="shared" si="9"/>
        <v>7.0642443576172026E-2</v>
      </c>
      <c r="R27" s="54">
        <f>Q27*[1]Datos!$K$18/100</f>
        <v>197462.47559869001</v>
      </c>
      <c r="S27" s="178">
        <f>FGP!U25</f>
        <v>21.979340072457017</v>
      </c>
      <c r="T27" s="179">
        <f>FGP!T25</f>
        <v>489518447.24409723</v>
      </c>
      <c r="U27" s="180">
        <f>FFM!S26</f>
        <v>35.682885147952533</v>
      </c>
      <c r="V27" s="181">
        <f>FFM!N26</f>
        <v>0</v>
      </c>
      <c r="W27" s="182">
        <f>FFM!Q26</f>
        <v>190476476.25894943</v>
      </c>
      <c r="X27" s="763">
        <f>FOCO!J28</f>
        <v>24.603713685701898</v>
      </c>
      <c r="Y27" s="767">
        <f>FOCO!L28</f>
        <v>27041225.807909396</v>
      </c>
      <c r="Z27" s="407">
        <f>FOFIR!I26</f>
        <v>66.664959930490809</v>
      </c>
      <c r="AA27" s="182">
        <f>FOFIR!K26</f>
        <v>32888472.922732718</v>
      </c>
      <c r="AB27" s="407">
        <f>'IEPS TyA'!E27</f>
        <v>0.05</v>
      </c>
      <c r="AC27" s="182">
        <f>'IEPS TyA'!G27</f>
        <v>854436.36375000002</v>
      </c>
      <c r="AD27" s="407">
        <f>'IEPS GyD '!F25</f>
        <v>35.020363236103471</v>
      </c>
      <c r="AE27" s="182">
        <f>'IEPS GyD '!H25</f>
        <v>19170685.90004513</v>
      </c>
      <c r="AF27" s="411">
        <f>FGP!F25+FGP!L25+FGP!R25</f>
        <v>21.979340072457017</v>
      </c>
      <c r="AG27" s="358">
        <f>'Incentivo ISAN'!J26</f>
        <v>1819284.492055482</v>
      </c>
      <c r="AH27" s="43">
        <f>FGP!F25+FGP!L25+FGP!R25</f>
        <v>21.979340072457017</v>
      </c>
      <c r="AI27" s="42">
        <f>'FOCO ISAN'!J26</f>
        <v>527080.01542392012</v>
      </c>
      <c r="AJ27" s="44"/>
      <c r="AK27" s="44"/>
      <c r="AL27" s="44"/>
    </row>
    <row r="28" spans="1:38" ht="27" customHeight="1" x14ac:dyDescent="0.25">
      <c r="A28" s="45" t="s">
        <v>64</v>
      </c>
      <c r="B28" s="46">
        <v>3.79</v>
      </c>
      <c r="C28" s="47">
        <f>[1]Datos!I$13*B28%</f>
        <v>37010411.810190007</v>
      </c>
      <c r="D28" s="48">
        <f t="shared" si="0"/>
        <v>2.7677955057194654</v>
      </c>
      <c r="E28" s="52">
        <v>30030</v>
      </c>
      <c r="F28" s="50">
        <f t="shared" si="1"/>
        <v>2.7677955057194654</v>
      </c>
      <c r="G28" s="50">
        <f t="shared" si="2"/>
        <v>1.6606773034316793</v>
      </c>
      <c r="H28" s="51">
        <f>[1]Datos!$K$18*Consolidado!G28/100</f>
        <v>4641989.0777502144</v>
      </c>
      <c r="I28" s="48">
        <v>0.97075900000000004</v>
      </c>
      <c r="J28" s="48">
        <f t="shared" si="3"/>
        <v>4.5393049192703279</v>
      </c>
      <c r="K28" s="48">
        <f t="shared" si="4"/>
        <v>1.3617914757810983</v>
      </c>
      <c r="L28" s="52">
        <f>[1]Datos!$K$18*Consolidado!K28/100</f>
        <v>3806531.9154337854</v>
      </c>
      <c r="M28" s="53">
        <f t="shared" si="5"/>
        <v>8448520.9931840003</v>
      </c>
      <c r="N28" s="48">
        <f t="shared" si="6"/>
        <v>3.0224687792127778</v>
      </c>
      <c r="O28" s="48">
        <f t="shared" si="7"/>
        <v>0.33085536131177395</v>
      </c>
      <c r="P28" s="48">
        <f t="shared" si="8"/>
        <v>5.1914996538873615</v>
      </c>
      <c r="Q28" s="48">
        <f t="shared" si="9"/>
        <v>0.51914996538873615</v>
      </c>
      <c r="R28" s="54">
        <f>Q28*[1]Datos!$K$18/100</f>
        <v>1451147.9527473762</v>
      </c>
      <c r="S28" s="178">
        <f>FGP!U26</f>
        <v>3.7144952969630278</v>
      </c>
      <c r="T28" s="179">
        <f>FGP!T26</f>
        <v>55376002.710701734</v>
      </c>
      <c r="U28" s="180">
        <f>FFM!S27</f>
        <v>1.4836975447353267</v>
      </c>
      <c r="V28" s="181">
        <f>FFM!N27</f>
        <v>17.266577172087985</v>
      </c>
      <c r="W28" s="182">
        <f>FFM!Q27</f>
        <v>21821040.980577633</v>
      </c>
      <c r="X28" s="763">
        <f>FOCO!J29</f>
        <v>3.0221379396734749</v>
      </c>
      <c r="Y28" s="767">
        <f>FOCO!L29</f>
        <v>2688123.0173499919</v>
      </c>
      <c r="Z28" s="407">
        <f>FOFIR!I27</f>
        <v>5.1431701292799017E-2</v>
      </c>
      <c r="AA28" s="182">
        <f>FOFIR!K27</f>
        <v>1335713.7205319775</v>
      </c>
      <c r="AB28" s="407">
        <f>'IEPS TyA'!E28</f>
        <v>0.05</v>
      </c>
      <c r="AC28" s="182">
        <f>'IEPS TyA'!G28</f>
        <v>1555176.36375</v>
      </c>
      <c r="AD28" s="407">
        <f>'IEPS GyD '!F26</f>
        <v>2.5879513991786967</v>
      </c>
      <c r="AE28" s="182">
        <f>'IEPS GyD '!H26</f>
        <v>1565380.853864358</v>
      </c>
      <c r="AF28" s="411">
        <f>FGP!F26+FGP!L26+FGP!R26</f>
        <v>3.7144952969630283</v>
      </c>
      <c r="AG28" s="358">
        <f>'Incentivo ISAN'!J27</f>
        <v>307457.9886065902</v>
      </c>
      <c r="AH28" s="43">
        <f>FGP!F26+FGP!L26+FGP!R26</f>
        <v>3.7144952969630283</v>
      </c>
      <c r="AI28" s="42">
        <f>'FOCO ISAN'!J27</f>
        <v>89076.206654119509</v>
      </c>
      <c r="AJ28" s="44"/>
      <c r="AK28" s="44"/>
      <c r="AL28" s="44"/>
    </row>
    <row r="29" spans="1:38" ht="27" customHeight="1" thickBot="1" x14ac:dyDescent="0.3">
      <c r="A29" s="55" t="s">
        <v>65</v>
      </c>
      <c r="B29" s="56">
        <v>3.1</v>
      </c>
      <c r="C29" s="57">
        <f>[1]Datos!I$13*B29%</f>
        <v>30272368.4991</v>
      </c>
      <c r="D29" s="58">
        <f t="shared" si="0"/>
        <v>4.5256175465147246</v>
      </c>
      <c r="E29" s="59">
        <v>49102</v>
      </c>
      <c r="F29" s="60">
        <f t="shared" si="1"/>
        <v>4.5256175465147246</v>
      </c>
      <c r="G29" s="60">
        <f t="shared" si="2"/>
        <v>2.7153705279088345</v>
      </c>
      <c r="H29" s="61">
        <f>[1]Datos!$K$18*Consolidado!G29/100</f>
        <v>7590108.1483746581</v>
      </c>
      <c r="I29" s="58">
        <v>1.0003390000000001</v>
      </c>
      <c r="J29" s="58">
        <f t="shared" si="3"/>
        <v>4.6776220912069428</v>
      </c>
      <c r="K29" s="58">
        <f t="shared" si="4"/>
        <v>1.4032866273620828</v>
      </c>
      <c r="L29" s="59">
        <f>[1]Datos!$K$18*Consolidado!K29/100</f>
        <v>3922520.7592750802</v>
      </c>
      <c r="M29" s="62">
        <f t="shared" si="5"/>
        <v>11512628.907649739</v>
      </c>
      <c r="N29" s="58">
        <f t="shared" si="6"/>
        <v>4.1186571552709168</v>
      </c>
      <c r="O29" s="58">
        <f t="shared" si="7"/>
        <v>0.24279758239168661</v>
      </c>
      <c r="P29" s="58">
        <f t="shared" si="8"/>
        <v>3.80977222177561</v>
      </c>
      <c r="Q29" s="58">
        <f t="shared" si="9"/>
        <v>0.38097722217756103</v>
      </c>
      <c r="R29" s="63">
        <f>Q29*[1]Datos!$K$18/100</f>
        <v>1064922.1860053025</v>
      </c>
      <c r="S29" s="178">
        <f>FGP!U27</f>
        <v>5.0303764450364916</v>
      </c>
      <c r="T29" s="179">
        <f>FGP!T27</f>
        <v>55144074.741572686</v>
      </c>
      <c r="U29" s="180">
        <f>FFM!S28</f>
        <v>5.1813386763074192</v>
      </c>
      <c r="V29" s="181">
        <f>FFM!N28</f>
        <v>0</v>
      </c>
      <c r="W29" s="182">
        <f>FFM!Q28</f>
        <v>16573864.689328659</v>
      </c>
      <c r="X29" s="763">
        <f>FOCO!J30</f>
        <v>4.0475412803248725</v>
      </c>
      <c r="Y29" s="768">
        <f>FOCO!L30</f>
        <v>3777576.4183235345</v>
      </c>
      <c r="Z29" s="408">
        <f>FOFIR!I28</f>
        <v>1.4007301551849369</v>
      </c>
      <c r="AA29" s="409">
        <f>FOFIR!K28</f>
        <v>2355378.6382890795</v>
      </c>
      <c r="AB29" s="408">
        <f>'IEPS TyA'!E29</f>
        <v>0.05</v>
      </c>
      <c r="AC29" s="182">
        <f>'IEPS TyA'!G29</f>
        <v>1726246.36375</v>
      </c>
      <c r="AD29" s="408">
        <f>'IEPS GyD '!F27</f>
        <v>4.8616061978747727</v>
      </c>
      <c r="AE29" s="409">
        <f>'IEPS GyD '!H27</f>
        <v>2506958.3468242665</v>
      </c>
      <c r="AF29" s="412">
        <f>FGP!F27+FGP!L27+FGP!R27</f>
        <v>5.0303764450364916</v>
      </c>
      <c r="AG29" s="358">
        <f>'Incentivo ISAN'!J28</f>
        <v>416376.7349468483</v>
      </c>
      <c r="AH29" s="43">
        <f>FGP!F27+FGP!L27+FGP!R27</f>
        <v>5.0303764450364916</v>
      </c>
      <c r="AI29" s="42">
        <f>'FOCO ISAN'!J28</f>
        <v>120631.9609914277</v>
      </c>
      <c r="AJ29" s="44"/>
      <c r="AK29" s="44"/>
      <c r="AL29" s="44"/>
    </row>
    <row r="30" spans="1:38" ht="15.75" thickBot="1" x14ac:dyDescent="0.3">
      <c r="A30" s="64" t="s">
        <v>66</v>
      </c>
      <c r="B30" s="65">
        <f>SUM(B10:B29)</f>
        <v>100</v>
      </c>
      <c r="C30" s="66">
        <f>SUM(C10:C29)</f>
        <v>976528016.0999999</v>
      </c>
      <c r="D30" s="67">
        <f>SUM(D10:D29)</f>
        <v>99.999999999999986</v>
      </c>
      <c r="E30" s="68">
        <f>SUM(E10:E29)</f>
        <v>1084979</v>
      </c>
      <c r="F30" s="69">
        <f t="shared" si="1"/>
        <v>99.999999999999986</v>
      </c>
      <c r="G30" s="69">
        <f t="shared" ref="G30:L30" si="10">SUM(G10:G29)</f>
        <v>59.999999999999993</v>
      </c>
      <c r="H30" s="70">
        <f t="shared" si="10"/>
        <v>167714307.94499996</v>
      </c>
      <c r="I30" s="71">
        <f t="shared" si="10"/>
        <v>21.385630999999997</v>
      </c>
      <c r="J30" s="72">
        <f t="shared" si="10"/>
        <v>100.00000000000001</v>
      </c>
      <c r="K30" s="72">
        <f t="shared" si="10"/>
        <v>29.999999999999996</v>
      </c>
      <c r="L30" s="73">
        <f t="shared" si="10"/>
        <v>83857153.972500011</v>
      </c>
      <c r="M30" s="74">
        <f t="shared" si="5"/>
        <v>251571461.91749996</v>
      </c>
      <c r="N30" s="72">
        <f t="shared" ref="N30:T30" si="11">SUM(N10:N29)</f>
        <v>90</v>
      </c>
      <c r="O30" s="72">
        <f t="shared" si="11"/>
        <v>6.3730209644535289</v>
      </c>
      <c r="P30" s="72">
        <f t="shared" si="11"/>
        <v>100</v>
      </c>
      <c r="Q30" s="71">
        <f t="shared" si="11"/>
        <v>10.000000000000002</v>
      </c>
      <c r="R30" s="75">
        <f t="shared" si="11"/>
        <v>27952384.657499999</v>
      </c>
      <c r="S30" s="183">
        <f>SUM(S10:S29)</f>
        <v>100</v>
      </c>
      <c r="T30" s="184">
        <f t="shared" si="11"/>
        <v>1470958333.875</v>
      </c>
      <c r="U30" s="185">
        <f>SUM(U10:U29)</f>
        <v>99.999999999999986</v>
      </c>
      <c r="V30" s="185">
        <f>SUM(V10:V29)</f>
        <v>100</v>
      </c>
      <c r="W30" s="765">
        <f t="shared" ref="W30:Y30" si="12">SUM(W10:W29)</f>
        <v>519797497.00000006</v>
      </c>
      <c r="X30" s="185">
        <f t="shared" si="12"/>
        <v>99.999999999999986</v>
      </c>
      <c r="Y30" s="765">
        <f t="shared" si="12"/>
        <v>96284189.924999982</v>
      </c>
      <c r="Z30" s="762">
        <v>100</v>
      </c>
      <c r="AA30" s="188">
        <f t="shared" ref="AA30:AE30" si="13">SUM(AA10:AA29)</f>
        <v>69993446.174999982</v>
      </c>
      <c r="AB30" s="189">
        <v>100</v>
      </c>
      <c r="AC30" s="186">
        <f>SUM(AC10:AC29)</f>
        <v>36173594.274999999</v>
      </c>
      <c r="AD30" s="187">
        <v>99.999999999999986</v>
      </c>
      <c r="AE30" s="186">
        <f t="shared" si="13"/>
        <v>54297935.100000001</v>
      </c>
      <c r="AF30" s="187">
        <f>SUM(AF10:AF29)</f>
        <v>100</v>
      </c>
      <c r="AG30" s="186">
        <f>SUM(AG10:AG29)</f>
        <v>8277248.0250000013</v>
      </c>
      <c r="AH30" s="77">
        <f>SUM(AH10:AH29)</f>
        <v>100</v>
      </c>
      <c r="AI30" s="76">
        <f>SUM(AI10:AI29)</f>
        <v>2398070.25</v>
      </c>
    </row>
    <row r="31" spans="1:38" x14ac:dyDescent="0.25">
      <c r="A31" s="11"/>
      <c r="B31" s="78"/>
      <c r="C31" s="11"/>
      <c r="D31" s="11"/>
      <c r="E31" s="11"/>
      <c r="F31" s="11"/>
      <c r="G31" s="11"/>
      <c r="H31" s="79"/>
    </row>
    <row r="32" spans="1:38" x14ac:dyDescent="0.25">
      <c r="A32" s="11"/>
      <c r="B32" s="11"/>
      <c r="C32" s="11"/>
      <c r="D32" s="11"/>
      <c r="E32" s="11"/>
      <c r="F32" s="11"/>
      <c r="G32" s="11"/>
      <c r="H32" s="79"/>
      <c r="T32" s="80"/>
      <c r="U32" s="764"/>
      <c r="V32" s="764"/>
    </row>
  </sheetData>
  <mergeCells count="39">
    <mergeCell ref="X5:Y5"/>
    <mergeCell ref="Y6:Y8"/>
    <mergeCell ref="A2:AI2"/>
    <mergeCell ref="Z6:Z9"/>
    <mergeCell ref="AB6:AB9"/>
    <mergeCell ref="AD6:AD9"/>
    <mergeCell ref="AF6:AF9"/>
    <mergeCell ref="AH6:AH9"/>
    <mergeCell ref="AF5:AG5"/>
    <mergeCell ref="AG6:AG8"/>
    <mergeCell ref="A4:T4"/>
    <mergeCell ref="A5:A9"/>
    <mergeCell ref="S5:T5"/>
    <mergeCell ref="U5:W5"/>
    <mergeCell ref="Z5:AA5"/>
    <mergeCell ref="AB5:AC5"/>
    <mergeCell ref="AD5:AE5"/>
    <mergeCell ref="V6:V9"/>
    <mergeCell ref="A1:AI1"/>
    <mergeCell ref="AH5:AI5"/>
    <mergeCell ref="B6:B8"/>
    <mergeCell ref="E6:H6"/>
    <mergeCell ref="I6:L6"/>
    <mergeCell ref="M6:M9"/>
    <mergeCell ref="AC6:AC8"/>
    <mergeCell ref="AE6:AE8"/>
    <mergeCell ref="AI6:AI8"/>
    <mergeCell ref="D7:E7"/>
    <mergeCell ref="I7:I8"/>
    <mergeCell ref="J7:J8"/>
    <mergeCell ref="L7:L8"/>
    <mergeCell ref="N7:N9"/>
    <mergeCell ref="D8:E8"/>
    <mergeCell ref="N6:R6"/>
    <mergeCell ref="W6:W8"/>
    <mergeCell ref="AA6:AA8"/>
    <mergeCell ref="S6:S9"/>
    <mergeCell ref="U6:U9"/>
    <mergeCell ref="T6:T8"/>
  </mergeCells>
  <pageMargins left="0.62" right="0.15748031496062992" top="0.74803149606299213" bottom="0.74803149606299213" header="0.31496062992125984" footer="0.31496062992125984"/>
  <pageSetup paperSize="5" scale="5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3"/>
  <sheetViews>
    <sheetView workbookViewId="0">
      <selection activeCell="C7" sqref="C7"/>
    </sheetView>
  </sheetViews>
  <sheetFormatPr baseColWidth="10" defaultRowHeight="15" x14ac:dyDescent="0.25"/>
  <cols>
    <col min="1" max="1" width="16.5703125" customWidth="1"/>
    <col min="2" max="2" width="9.28515625" hidden="1" customWidth="1"/>
    <col min="3" max="10" width="7.85546875" customWidth="1"/>
    <col min="11" max="11" width="10.140625" bestFit="1" customWidth="1"/>
    <col min="12" max="12" width="7.85546875" customWidth="1"/>
    <col min="13" max="14" width="10.140625" bestFit="1" customWidth="1"/>
    <col min="15" max="15" width="11.7109375" bestFit="1" customWidth="1"/>
    <col min="16" max="16" width="12.7109375" bestFit="1" customWidth="1"/>
  </cols>
  <sheetData>
    <row r="1" spans="1:17" s="695" customFormat="1" ht="12.75" x14ac:dyDescent="0.2">
      <c r="A1" s="958" t="s">
        <v>433</v>
      </c>
      <c r="B1" s="958"/>
      <c r="C1" s="958"/>
      <c r="D1" s="958"/>
      <c r="E1" s="958"/>
      <c r="F1" s="958"/>
      <c r="G1" s="958"/>
      <c r="H1" s="958"/>
      <c r="I1" s="958"/>
      <c r="J1" s="958"/>
      <c r="K1" s="958"/>
      <c r="L1" s="958"/>
      <c r="M1" s="958"/>
      <c r="N1" s="958"/>
      <c r="O1" s="958"/>
    </row>
    <row r="2" spans="1:17" s="695" customFormat="1" ht="13.5" thickBot="1" x14ac:dyDescent="0.25"/>
    <row r="3" spans="1:17" s="695" customFormat="1" ht="23.25" customHeight="1"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s="695" customFormat="1" ht="12.75" customHeight="1" x14ac:dyDescent="0.2">
      <c r="A4" s="700" t="s">
        <v>287</v>
      </c>
      <c r="B4" s="701">
        <f>'[3]FGP simpl'!$C$16</f>
        <v>3.6636711021849497</v>
      </c>
      <c r="C4" s="702">
        <f t="shared" ref="C4:C23" si="0">$C$29*B4/100</f>
        <v>7321.4505632786977</v>
      </c>
      <c r="D4" s="702">
        <f t="shared" ref="D4:D23" si="1">$D$29*B4/100</f>
        <v>7321.4505632786977</v>
      </c>
      <c r="E4" s="702">
        <f t="shared" ref="E4:E23" si="2">$E$29*B4/100</f>
        <v>7321.4505632786977</v>
      </c>
      <c r="F4" s="702">
        <f t="shared" ref="F4:F23" si="3">$F$29*B4/100</f>
        <v>7321.4505632786977</v>
      </c>
      <c r="G4" s="702">
        <f t="shared" ref="G4:G23" si="4">$G$29*B4/100</f>
        <v>7321.4505632786977</v>
      </c>
      <c r="H4" s="702">
        <f t="shared" ref="H4:H23" si="5">$H$29*B4/100</f>
        <v>7321.4505632786977</v>
      </c>
      <c r="I4" s="702">
        <f t="shared" ref="I4:I23" si="6">$I$29*B4/100</f>
        <v>7321.4505632786977</v>
      </c>
      <c r="J4" s="702">
        <f t="shared" ref="J4:J23" si="7">$J$29*B4/100</f>
        <v>7321.4505632786977</v>
      </c>
      <c r="K4" s="702">
        <f t="shared" ref="K4:K23" si="8">$K$29*B4/100</f>
        <v>7321.4505632786977</v>
      </c>
      <c r="L4" s="702">
        <f t="shared" ref="L4:L23" si="9">$L$29*B4/100</f>
        <v>7321.4505632786977</v>
      </c>
      <c r="M4" s="702">
        <f t="shared" ref="M4:M23" si="10">$M$29*B4/100</f>
        <v>7321.4505632786977</v>
      </c>
      <c r="N4" s="702">
        <f t="shared" ref="N4:N23" si="11">$N$29*B4/100</f>
        <v>7321.4505632786977</v>
      </c>
      <c r="O4" s="703">
        <f>SUM(C4:N4)</f>
        <v>87857.406759344391</v>
      </c>
      <c r="P4" s="704"/>
      <c r="Q4" s="704"/>
    </row>
    <row r="5" spans="1:17" s="695" customFormat="1" ht="12.75" customHeight="1" x14ac:dyDescent="0.2">
      <c r="A5" s="700" t="s">
        <v>149</v>
      </c>
      <c r="B5" s="701">
        <v>2.8774681766767136</v>
      </c>
      <c r="C5" s="702">
        <f t="shared" si="0"/>
        <v>5750.3090248418084</v>
      </c>
      <c r="D5" s="702">
        <f t="shared" si="1"/>
        <v>5750.3090248418084</v>
      </c>
      <c r="E5" s="702">
        <f t="shared" si="2"/>
        <v>5750.3090248418084</v>
      </c>
      <c r="F5" s="702">
        <f t="shared" si="3"/>
        <v>5750.3090248418084</v>
      </c>
      <c r="G5" s="702">
        <f t="shared" si="4"/>
        <v>5750.3090248418084</v>
      </c>
      <c r="H5" s="702">
        <f t="shared" si="5"/>
        <v>5750.3090248418084</v>
      </c>
      <c r="I5" s="702">
        <f t="shared" si="6"/>
        <v>5750.3090248418084</v>
      </c>
      <c r="J5" s="702">
        <f t="shared" si="7"/>
        <v>5750.3090248418084</v>
      </c>
      <c r="K5" s="702">
        <f t="shared" si="8"/>
        <v>5750.3090248418084</v>
      </c>
      <c r="L5" s="702">
        <f t="shared" si="9"/>
        <v>5750.3090248418084</v>
      </c>
      <c r="M5" s="702">
        <f t="shared" si="10"/>
        <v>5750.3090248418084</v>
      </c>
      <c r="N5" s="702">
        <f t="shared" si="11"/>
        <v>5750.3090248418084</v>
      </c>
      <c r="O5" s="703">
        <f t="shared" ref="O5:O23" si="12">SUM(C5:N5)</f>
        <v>69003.708298101701</v>
      </c>
      <c r="P5" s="704"/>
    </row>
    <row r="6" spans="1:17" s="695" customFormat="1" ht="12.75" customHeight="1" x14ac:dyDescent="0.2">
      <c r="A6" s="700" t="s">
        <v>150</v>
      </c>
      <c r="B6" s="701">
        <v>4.7152682285520395</v>
      </c>
      <c r="C6" s="702">
        <f t="shared" si="0"/>
        <v>9422.9537163840378</v>
      </c>
      <c r="D6" s="702">
        <f t="shared" si="1"/>
        <v>9422.9537163840378</v>
      </c>
      <c r="E6" s="702">
        <f t="shared" si="2"/>
        <v>9422.9537163840378</v>
      </c>
      <c r="F6" s="702">
        <f t="shared" si="3"/>
        <v>9422.9537163840378</v>
      </c>
      <c r="G6" s="702">
        <f t="shared" si="4"/>
        <v>9422.9537163840378</v>
      </c>
      <c r="H6" s="702">
        <f t="shared" si="5"/>
        <v>9422.9537163840378</v>
      </c>
      <c r="I6" s="702">
        <f t="shared" si="6"/>
        <v>9422.9537163840378</v>
      </c>
      <c r="J6" s="702">
        <f t="shared" si="7"/>
        <v>9422.9537163840378</v>
      </c>
      <c r="K6" s="702">
        <f t="shared" si="8"/>
        <v>9422.9537163840378</v>
      </c>
      <c r="L6" s="702">
        <f t="shared" si="9"/>
        <v>9422.9537163840378</v>
      </c>
      <c r="M6" s="702">
        <f t="shared" si="10"/>
        <v>9422.9537163840378</v>
      </c>
      <c r="N6" s="702">
        <f t="shared" si="11"/>
        <v>9422.9537163840378</v>
      </c>
      <c r="O6" s="703">
        <f t="shared" si="12"/>
        <v>113075.44459660847</v>
      </c>
      <c r="P6" s="704"/>
    </row>
    <row r="7" spans="1:17" s="695" customFormat="1" ht="12.75" customHeight="1" x14ac:dyDescent="0.2">
      <c r="A7" s="700" t="s">
        <v>288</v>
      </c>
      <c r="B7" s="701">
        <v>9.1392838894846484</v>
      </c>
      <c r="C7" s="702">
        <f t="shared" si="0"/>
        <v>18263.870668064515</v>
      </c>
      <c r="D7" s="702">
        <f t="shared" si="1"/>
        <v>18263.870668064515</v>
      </c>
      <c r="E7" s="702">
        <f t="shared" si="2"/>
        <v>18263.870668064515</v>
      </c>
      <c r="F7" s="702">
        <f t="shared" si="3"/>
        <v>18263.870668064515</v>
      </c>
      <c r="G7" s="702">
        <f t="shared" si="4"/>
        <v>18263.870668064515</v>
      </c>
      <c r="H7" s="702">
        <f t="shared" si="5"/>
        <v>18263.870668064515</v>
      </c>
      <c r="I7" s="702">
        <f t="shared" si="6"/>
        <v>18263.870668064515</v>
      </c>
      <c r="J7" s="702">
        <f t="shared" si="7"/>
        <v>18263.870668064515</v>
      </c>
      <c r="K7" s="702">
        <f t="shared" si="8"/>
        <v>18263.870668064515</v>
      </c>
      <c r="L7" s="702">
        <f t="shared" si="9"/>
        <v>18263.870668064515</v>
      </c>
      <c r="M7" s="702">
        <f t="shared" si="10"/>
        <v>18263.870668064515</v>
      </c>
      <c r="N7" s="702">
        <f t="shared" si="11"/>
        <v>18263.870668064515</v>
      </c>
      <c r="O7" s="703">
        <f t="shared" si="12"/>
        <v>219166.44801677417</v>
      </c>
      <c r="P7" s="704"/>
    </row>
    <row r="8" spans="1:17" s="695" customFormat="1" ht="12.75" customHeight="1" x14ac:dyDescent="0.2">
      <c r="A8" s="700" t="s">
        <v>152</v>
      </c>
      <c r="B8" s="701">
        <v>5.3963653133391265</v>
      </c>
      <c r="C8" s="702">
        <f t="shared" si="0"/>
        <v>10784.052596708738</v>
      </c>
      <c r="D8" s="702">
        <f t="shared" si="1"/>
        <v>10784.052596708738</v>
      </c>
      <c r="E8" s="702">
        <f t="shared" si="2"/>
        <v>10784.052596708738</v>
      </c>
      <c r="F8" s="702">
        <f t="shared" si="3"/>
        <v>10784.052596708738</v>
      </c>
      <c r="G8" s="702">
        <f t="shared" si="4"/>
        <v>10784.052596708738</v>
      </c>
      <c r="H8" s="702">
        <f t="shared" si="5"/>
        <v>10784.052596708738</v>
      </c>
      <c r="I8" s="702">
        <f t="shared" si="6"/>
        <v>10784.052596708738</v>
      </c>
      <c r="J8" s="702">
        <f t="shared" si="7"/>
        <v>10784.052596708738</v>
      </c>
      <c r="K8" s="702">
        <f t="shared" si="8"/>
        <v>10784.052596708738</v>
      </c>
      <c r="L8" s="702">
        <f t="shared" si="9"/>
        <v>10784.052596708738</v>
      </c>
      <c r="M8" s="702">
        <f t="shared" si="10"/>
        <v>10784.052596708738</v>
      </c>
      <c r="N8" s="702">
        <f t="shared" si="11"/>
        <v>10784.052596708738</v>
      </c>
      <c r="O8" s="703">
        <f t="shared" si="12"/>
        <v>129408.63116050482</v>
      </c>
      <c r="P8" s="704"/>
    </row>
    <row r="9" spans="1:17" s="695" customFormat="1" ht="12.75" customHeight="1" x14ac:dyDescent="0.2">
      <c r="A9" s="700" t="s">
        <v>289</v>
      </c>
      <c r="B9" s="701">
        <v>3.6295907588400458</v>
      </c>
      <c r="C9" s="702">
        <f t="shared" si="0"/>
        <v>7253.3446820410309</v>
      </c>
      <c r="D9" s="702">
        <f t="shared" si="1"/>
        <v>7253.3446820410309</v>
      </c>
      <c r="E9" s="702">
        <f t="shared" si="2"/>
        <v>7253.3446820410309</v>
      </c>
      <c r="F9" s="702">
        <f t="shared" si="3"/>
        <v>7253.3446820410309</v>
      </c>
      <c r="G9" s="702">
        <f t="shared" si="4"/>
        <v>7253.3446820410309</v>
      </c>
      <c r="H9" s="702">
        <f t="shared" si="5"/>
        <v>7253.3446820410309</v>
      </c>
      <c r="I9" s="702">
        <f t="shared" si="6"/>
        <v>7253.3446820410309</v>
      </c>
      <c r="J9" s="702">
        <f t="shared" si="7"/>
        <v>7253.3446820410309</v>
      </c>
      <c r="K9" s="702">
        <f t="shared" si="8"/>
        <v>7253.3446820410309</v>
      </c>
      <c r="L9" s="702">
        <f t="shared" si="9"/>
        <v>7253.3446820410309</v>
      </c>
      <c r="M9" s="702">
        <f t="shared" si="10"/>
        <v>7253.3446820410309</v>
      </c>
      <c r="N9" s="702">
        <f t="shared" si="11"/>
        <v>7253.3446820410309</v>
      </c>
      <c r="O9" s="703">
        <f t="shared" si="12"/>
        <v>87040.136184492367</v>
      </c>
      <c r="P9" s="704"/>
    </row>
    <row r="10" spans="1:17" s="695" customFormat="1" ht="12.75" customHeight="1" x14ac:dyDescent="0.2">
      <c r="A10" s="700" t="s">
        <v>154</v>
      </c>
      <c r="B10" s="701">
        <v>4.0700473326514279</v>
      </c>
      <c r="C10" s="702">
        <f t="shared" si="0"/>
        <v>8133.5495204360341</v>
      </c>
      <c r="D10" s="702">
        <f t="shared" si="1"/>
        <v>8133.5495204360341</v>
      </c>
      <c r="E10" s="702">
        <f t="shared" si="2"/>
        <v>8133.5495204360341</v>
      </c>
      <c r="F10" s="702">
        <f t="shared" si="3"/>
        <v>8133.5495204360341</v>
      </c>
      <c r="G10" s="702">
        <f t="shared" si="4"/>
        <v>8133.5495204360341</v>
      </c>
      <c r="H10" s="702">
        <f t="shared" si="5"/>
        <v>8133.5495204360341</v>
      </c>
      <c r="I10" s="702">
        <f t="shared" si="6"/>
        <v>8133.5495204360341</v>
      </c>
      <c r="J10" s="702">
        <f t="shared" si="7"/>
        <v>8133.5495204360341</v>
      </c>
      <c r="K10" s="702">
        <f t="shared" si="8"/>
        <v>8133.5495204360341</v>
      </c>
      <c r="L10" s="702">
        <f t="shared" si="9"/>
        <v>8133.5495204360341</v>
      </c>
      <c r="M10" s="702">
        <f t="shared" si="10"/>
        <v>8133.5495204360341</v>
      </c>
      <c r="N10" s="702">
        <f t="shared" si="11"/>
        <v>8133.5495204360341</v>
      </c>
      <c r="O10" s="703">
        <f t="shared" si="12"/>
        <v>97602.594245232409</v>
      </c>
      <c r="P10" s="704"/>
    </row>
    <row r="11" spans="1:17" s="695" customFormat="1" ht="12.75" customHeight="1" x14ac:dyDescent="0.2">
      <c r="A11" s="700" t="s">
        <v>155</v>
      </c>
      <c r="B11" s="701">
        <v>3.2056447774490451</v>
      </c>
      <c r="C11" s="702">
        <f t="shared" si="0"/>
        <v>6406.1344773903538</v>
      </c>
      <c r="D11" s="702">
        <f t="shared" si="1"/>
        <v>6406.1344773903538</v>
      </c>
      <c r="E11" s="702">
        <f t="shared" si="2"/>
        <v>6406.1344773903538</v>
      </c>
      <c r="F11" s="702">
        <f t="shared" si="3"/>
        <v>6406.1344773903538</v>
      </c>
      <c r="G11" s="702">
        <f t="shared" si="4"/>
        <v>6406.1344773903538</v>
      </c>
      <c r="H11" s="702">
        <f t="shared" si="5"/>
        <v>6406.1344773903538</v>
      </c>
      <c r="I11" s="702">
        <f t="shared" si="6"/>
        <v>6406.1344773903538</v>
      </c>
      <c r="J11" s="702">
        <f t="shared" si="7"/>
        <v>6406.1344773903538</v>
      </c>
      <c r="K11" s="702">
        <f t="shared" si="8"/>
        <v>6406.1344773903538</v>
      </c>
      <c r="L11" s="702">
        <f t="shared" si="9"/>
        <v>6406.1344773903538</v>
      </c>
      <c r="M11" s="702">
        <f t="shared" si="10"/>
        <v>6406.1344773903538</v>
      </c>
      <c r="N11" s="702">
        <f t="shared" si="11"/>
        <v>6406.1344773903538</v>
      </c>
      <c r="O11" s="703">
        <f t="shared" si="12"/>
        <v>76873.613728684242</v>
      </c>
      <c r="P11" s="704"/>
    </row>
    <row r="12" spans="1:17" s="695" customFormat="1" ht="12.75" customHeight="1" x14ac:dyDescent="0.2">
      <c r="A12" s="700" t="s">
        <v>156</v>
      </c>
      <c r="B12" s="701">
        <v>3.1677886526185874</v>
      </c>
      <c r="C12" s="702">
        <f t="shared" si="0"/>
        <v>6330.4831051101819</v>
      </c>
      <c r="D12" s="702">
        <f t="shared" si="1"/>
        <v>6330.4831051101819</v>
      </c>
      <c r="E12" s="702">
        <f t="shared" si="2"/>
        <v>6330.4831051101819</v>
      </c>
      <c r="F12" s="702">
        <f t="shared" si="3"/>
        <v>6330.4831051101819</v>
      </c>
      <c r="G12" s="702">
        <f t="shared" si="4"/>
        <v>6330.4831051101819</v>
      </c>
      <c r="H12" s="702">
        <f t="shared" si="5"/>
        <v>6330.4831051101819</v>
      </c>
      <c r="I12" s="702">
        <f t="shared" si="6"/>
        <v>6330.4831051101819</v>
      </c>
      <c r="J12" s="702">
        <f t="shared" si="7"/>
        <v>6330.4831051101819</v>
      </c>
      <c r="K12" s="702">
        <f t="shared" si="8"/>
        <v>6330.4831051101819</v>
      </c>
      <c r="L12" s="702">
        <f t="shared" si="9"/>
        <v>6330.4831051101819</v>
      </c>
      <c r="M12" s="702">
        <f t="shared" si="10"/>
        <v>6330.4831051101819</v>
      </c>
      <c r="N12" s="702">
        <f t="shared" si="11"/>
        <v>6330.4831051101819</v>
      </c>
      <c r="O12" s="703">
        <f t="shared" si="12"/>
        <v>75965.797261322165</v>
      </c>
      <c r="P12" s="704"/>
    </row>
    <row r="13" spans="1:17" s="695" customFormat="1" ht="12.75" customHeight="1" x14ac:dyDescent="0.2">
      <c r="A13" s="700" t="s">
        <v>157</v>
      </c>
      <c r="B13" s="701">
        <v>2.8145431996763457</v>
      </c>
      <c r="C13" s="702">
        <f t="shared" si="0"/>
        <v>5624.5602620697118</v>
      </c>
      <c r="D13" s="702">
        <f t="shared" si="1"/>
        <v>5624.5602620697118</v>
      </c>
      <c r="E13" s="702">
        <f t="shared" si="2"/>
        <v>5624.5602620697118</v>
      </c>
      <c r="F13" s="702">
        <f t="shared" si="3"/>
        <v>5624.5602620697118</v>
      </c>
      <c r="G13" s="702">
        <f t="shared" si="4"/>
        <v>5624.5602620697118</v>
      </c>
      <c r="H13" s="702">
        <f t="shared" si="5"/>
        <v>5624.5602620697118</v>
      </c>
      <c r="I13" s="702">
        <f t="shared" si="6"/>
        <v>5624.5602620697118</v>
      </c>
      <c r="J13" s="702">
        <f t="shared" si="7"/>
        <v>5624.5602620697118</v>
      </c>
      <c r="K13" s="702">
        <f t="shared" si="8"/>
        <v>5624.5602620697118</v>
      </c>
      <c r="L13" s="702">
        <f t="shared" si="9"/>
        <v>5624.5602620697118</v>
      </c>
      <c r="M13" s="702">
        <f t="shared" si="10"/>
        <v>5624.5602620697118</v>
      </c>
      <c r="N13" s="702">
        <f t="shared" si="11"/>
        <v>5624.5602620697118</v>
      </c>
      <c r="O13" s="703">
        <f t="shared" si="12"/>
        <v>67494.723144836535</v>
      </c>
      <c r="P13" s="704"/>
    </row>
    <row r="14" spans="1:17" s="695" customFormat="1" ht="12.75" customHeight="1" x14ac:dyDescent="0.25">
      <c r="A14" s="700" t="s">
        <v>158</v>
      </c>
      <c r="B14" s="701">
        <v>3.814501471077032</v>
      </c>
      <c r="C14" s="702">
        <f t="shared" si="0"/>
        <v>7622.868746975887</v>
      </c>
      <c r="D14" s="702">
        <f t="shared" si="1"/>
        <v>7622.868746975887</v>
      </c>
      <c r="E14" s="702">
        <f t="shared" si="2"/>
        <v>7622.868746975887</v>
      </c>
      <c r="F14" s="702">
        <f t="shared" si="3"/>
        <v>7622.868746975887</v>
      </c>
      <c r="G14" s="702">
        <f t="shared" si="4"/>
        <v>7622.868746975887</v>
      </c>
      <c r="H14" s="702">
        <f t="shared" si="5"/>
        <v>7622.868746975887</v>
      </c>
      <c r="I14" s="702">
        <f t="shared" si="6"/>
        <v>7622.868746975887</v>
      </c>
      <c r="J14" s="702">
        <f t="shared" si="7"/>
        <v>7622.868746975887</v>
      </c>
      <c r="K14" s="702">
        <f t="shared" si="8"/>
        <v>7622.868746975887</v>
      </c>
      <c r="L14" s="702">
        <f t="shared" si="9"/>
        <v>7622.868746975887</v>
      </c>
      <c r="M14" s="702">
        <f t="shared" si="10"/>
        <v>7622.868746975887</v>
      </c>
      <c r="N14" s="702">
        <f t="shared" si="11"/>
        <v>7622.868746975887</v>
      </c>
      <c r="O14" s="703">
        <f t="shared" si="12"/>
        <v>91474.42496371064</v>
      </c>
      <c r="P14" s="704"/>
      <c r="Q14"/>
    </row>
    <row r="15" spans="1:17" s="695" customFormat="1" ht="12.75" customHeight="1" x14ac:dyDescent="0.25">
      <c r="A15" s="700" t="s">
        <v>159</v>
      </c>
      <c r="B15" s="701">
        <v>3.0792318274418586</v>
      </c>
      <c r="C15" s="702">
        <f t="shared" si="0"/>
        <v>6153.5118652012115</v>
      </c>
      <c r="D15" s="702">
        <f t="shared" si="1"/>
        <v>6153.5118652012115</v>
      </c>
      <c r="E15" s="702">
        <f t="shared" si="2"/>
        <v>6153.5118652012115</v>
      </c>
      <c r="F15" s="702">
        <f t="shared" si="3"/>
        <v>6153.5118652012115</v>
      </c>
      <c r="G15" s="702">
        <f t="shared" si="4"/>
        <v>6153.5118652012115</v>
      </c>
      <c r="H15" s="702">
        <f t="shared" si="5"/>
        <v>6153.5118652012115</v>
      </c>
      <c r="I15" s="702">
        <f t="shared" si="6"/>
        <v>6153.5118652012115</v>
      </c>
      <c r="J15" s="702">
        <f t="shared" si="7"/>
        <v>6153.5118652012115</v>
      </c>
      <c r="K15" s="702">
        <f t="shared" si="8"/>
        <v>6153.5118652012115</v>
      </c>
      <c r="L15" s="702">
        <f t="shared" si="9"/>
        <v>6153.5118652012115</v>
      </c>
      <c r="M15" s="702">
        <f t="shared" si="10"/>
        <v>6153.5118652012115</v>
      </c>
      <c r="N15" s="702">
        <f t="shared" si="11"/>
        <v>6153.5118652012115</v>
      </c>
      <c r="O15" s="703">
        <f t="shared" si="12"/>
        <v>73842.142382414531</v>
      </c>
      <c r="P15" s="704"/>
      <c r="Q15"/>
    </row>
    <row r="16" spans="1:17" s="695" customFormat="1" ht="12.75" customHeight="1" x14ac:dyDescent="0.25">
      <c r="A16" s="700" t="s">
        <v>160</v>
      </c>
      <c r="B16" s="701">
        <v>3.9687689066587866</v>
      </c>
      <c r="C16" s="702">
        <f t="shared" si="0"/>
        <v>7931.1555368195513</v>
      </c>
      <c r="D16" s="702">
        <f t="shared" si="1"/>
        <v>7931.1555368195513</v>
      </c>
      <c r="E16" s="702">
        <f t="shared" si="2"/>
        <v>7931.1555368195513</v>
      </c>
      <c r="F16" s="702">
        <f t="shared" si="3"/>
        <v>7931.1555368195513</v>
      </c>
      <c r="G16" s="702">
        <f t="shared" si="4"/>
        <v>7931.1555368195513</v>
      </c>
      <c r="H16" s="702">
        <f t="shared" si="5"/>
        <v>7931.1555368195513</v>
      </c>
      <c r="I16" s="702">
        <f t="shared" si="6"/>
        <v>7931.1555368195513</v>
      </c>
      <c r="J16" s="702">
        <f t="shared" si="7"/>
        <v>7931.1555368195513</v>
      </c>
      <c r="K16" s="702">
        <f t="shared" si="8"/>
        <v>7931.1555368195513</v>
      </c>
      <c r="L16" s="702">
        <f t="shared" si="9"/>
        <v>7931.1555368195513</v>
      </c>
      <c r="M16" s="702">
        <f t="shared" si="10"/>
        <v>7931.1555368195513</v>
      </c>
      <c r="N16" s="702">
        <f t="shared" si="11"/>
        <v>7931.1555368195513</v>
      </c>
      <c r="O16" s="703">
        <f t="shared" si="12"/>
        <v>95173.866441834645</v>
      </c>
      <c r="P16" s="704"/>
      <c r="Q16"/>
    </row>
    <row r="17" spans="1:17" s="695" customFormat="1" ht="12.75" customHeight="1" x14ac:dyDescent="0.25">
      <c r="A17" s="700" t="s">
        <v>290</v>
      </c>
      <c r="B17" s="701">
        <v>2.5568285677800717</v>
      </c>
      <c r="C17" s="702">
        <f t="shared" si="0"/>
        <v>5109.5454356195814</v>
      </c>
      <c r="D17" s="702">
        <f t="shared" si="1"/>
        <v>5109.5454356195814</v>
      </c>
      <c r="E17" s="702">
        <f t="shared" si="2"/>
        <v>5109.5454356195814</v>
      </c>
      <c r="F17" s="702">
        <f t="shared" si="3"/>
        <v>5109.5454356195814</v>
      </c>
      <c r="G17" s="702">
        <f t="shared" si="4"/>
        <v>5109.5454356195814</v>
      </c>
      <c r="H17" s="702">
        <f t="shared" si="5"/>
        <v>5109.5454356195814</v>
      </c>
      <c r="I17" s="702">
        <f t="shared" si="6"/>
        <v>5109.5454356195814</v>
      </c>
      <c r="J17" s="702">
        <f t="shared" si="7"/>
        <v>5109.5454356195814</v>
      </c>
      <c r="K17" s="702">
        <f t="shared" si="8"/>
        <v>5109.5454356195814</v>
      </c>
      <c r="L17" s="702">
        <f t="shared" si="9"/>
        <v>5109.5454356195814</v>
      </c>
      <c r="M17" s="702">
        <f t="shared" si="10"/>
        <v>5109.5454356195814</v>
      </c>
      <c r="N17" s="702">
        <f t="shared" si="11"/>
        <v>5109.5454356195814</v>
      </c>
      <c r="O17" s="703">
        <f t="shared" si="12"/>
        <v>61314.545227434988</v>
      </c>
      <c r="P17" s="704"/>
      <c r="Q17"/>
    </row>
    <row r="18" spans="1:17" s="695" customFormat="1" ht="12.75" customHeight="1" x14ac:dyDescent="0.25">
      <c r="A18" s="700" t="s">
        <v>291</v>
      </c>
      <c r="B18" s="701">
        <v>3.0448340829893383</v>
      </c>
      <c r="C18" s="702">
        <f t="shared" si="0"/>
        <v>6084.7716921689689</v>
      </c>
      <c r="D18" s="702">
        <f t="shared" si="1"/>
        <v>6084.7716921689689</v>
      </c>
      <c r="E18" s="702">
        <f t="shared" si="2"/>
        <v>6084.7716921689689</v>
      </c>
      <c r="F18" s="702">
        <f t="shared" si="3"/>
        <v>6084.7716921689689</v>
      </c>
      <c r="G18" s="702">
        <f t="shared" si="4"/>
        <v>6084.7716921689689</v>
      </c>
      <c r="H18" s="702">
        <f t="shared" si="5"/>
        <v>6084.7716921689689</v>
      </c>
      <c r="I18" s="702">
        <f t="shared" si="6"/>
        <v>6084.7716921689689</v>
      </c>
      <c r="J18" s="702">
        <f t="shared" si="7"/>
        <v>6084.7716921689689</v>
      </c>
      <c r="K18" s="702">
        <f t="shared" si="8"/>
        <v>6084.7716921689689</v>
      </c>
      <c r="L18" s="702">
        <f t="shared" si="9"/>
        <v>6084.7716921689689</v>
      </c>
      <c r="M18" s="702">
        <f t="shared" si="10"/>
        <v>6084.7716921689689</v>
      </c>
      <c r="N18" s="702">
        <f t="shared" si="11"/>
        <v>6084.7716921689689</v>
      </c>
      <c r="O18" s="703">
        <f t="shared" si="12"/>
        <v>73017.260306027645</v>
      </c>
      <c r="P18" s="704"/>
      <c r="Q18"/>
    </row>
    <row r="19" spans="1:17" s="695" customFormat="1" ht="12.75" customHeight="1" x14ac:dyDescent="0.25">
      <c r="A19" s="700" t="s">
        <v>292</v>
      </c>
      <c r="B19" s="701">
        <v>6.4580166897572191</v>
      </c>
      <c r="C19" s="702">
        <f t="shared" si="0"/>
        <v>12905.648081425221</v>
      </c>
      <c r="D19" s="702">
        <f t="shared" si="1"/>
        <v>12905.648081425221</v>
      </c>
      <c r="E19" s="702">
        <f t="shared" si="2"/>
        <v>12905.648081425221</v>
      </c>
      <c r="F19" s="702">
        <f t="shared" si="3"/>
        <v>12905.648081425221</v>
      </c>
      <c r="G19" s="702">
        <f t="shared" si="4"/>
        <v>12905.648081425221</v>
      </c>
      <c r="H19" s="702">
        <f t="shared" si="5"/>
        <v>12905.648081425221</v>
      </c>
      <c r="I19" s="702">
        <f t="shared" si="6"/>
        <v>12905.648081425221</v>
      </c>
      <c r="J19" s="702">
        <f t="shared" si="7"/>
        <v>12905.648081425221</v>
      </c>
      <c r="K19" s="702">
        <f t="shared" si="8"/>
        <v>12905.648081425221</v>
      </c>
      <c r="L19" s="702">
        <f t="shared" si="9"/>
        <v>12905.648081425221</v>
      </c>
      <c r="M19" s="702">
        <f t="shared" si="10"/>
        <v>12905.648081425221</v>
      </c>
      <c r="N19" s="702">
        <f t="shared" si="11"/>
        <v>12905.648081425221</v>
      </c>
      <c r="O19" s="703">
        <f t="shared" si="12"/>
        <v>154867.77697710268</v>
      </c>
      <c r="P19" s="704"/>
      <c r="Q19"/>
    </row>
    <row r="20" spans="1:17" s="695" customFormat="1" ht="12.75" customHeight="1" x14ac:dyDescent="0.25">
      <c r="A20" s="700" t="s">
        <v>164</v>
      </c>
      <c r="B20" s="701">
        <v>3.6739352083662298</v>
      </c>
      <c r="C20" s="702">
        <f t="shared" si="0"/>
        <v>7341.962269675505</v>
      </c>
      <c r="D20" s="702">
        <f t="shared" si="1"/>
        <v>7341.962269675505</v>
      </c>
      <c r="E20" s="702">
        <f t="shared" si="2"/>
        <v>7341.962269675505</v>
      </c>
      <c r="F20" s="702">
        <f t="shared" si="3"/>
        <v>7341.962269675505</v>
      </c>
      <c r="G20" s="702">
        <f t="shared" si="4"/>
        <v>7341.962269675505</v>
      </c>
      <c r="H20" s="702">
        <f t="shared" si="5"/>
        <v>7341.962269675505</v>
      </c>
      <c r="I20" s="702">
        <f t="shared" si="6"/>
        <v>7341.962269675505</v>
      </c>
      <c r="J20" s="702">
        <f t="shared" si="7"/>
        <v>7341.962269675505</v>
      </c>
      <c r="K20" s="702">
        <f t="shared" si="8"/>
        <v>7341.962269675505</v>
      </c>
      <c r="L20" s="702">
        <f t="shared" si="9"/>
        <v>7341.962269675505</v>
      </c>
      <c r="M20" s="702">
        <f t="shared" si="10"/>
        <v>7341.962269675505</v>
      </c>
      <c r="N20" s="702">
        <f t="shared" si="11"/>
        <v>7341.962269675505</v>
      </c>
      <c r="O20" s="703">
        <f t="shared" si="12"/>
        <v>88103.547236106067</v>
      </c>
      <c r="P20" s="704"/>
      <c r="Q20"/>
    </row>
    <row r="21" spans="1:17" s="695" customFormat="1" ht="12.75" customHeight="1" x14ac:dyDescent="0.25">
      <c r="A21" s="700" t="s">
        <v>165</v>
      </c>
      <c r="B21" s="701">
        <v>21.979340072457017</v>
      </c>
      <c r="C21" s="702">
        <f t="shared" si="0"/>
        <v>43923.33461866001</v>
      </c>
      <c r="D21" s="702">
        <f t="shared" si="1"/>
        <v>43923.33461866001</v>
      </c>
      <c r="E21" s="702">
        <f t="shared" si="2"/>
        <v>43923.33461866001</v>
      </c>
      <c r="F21" s="702">
        <f t="shared" si="3"/>
        <v>43923.33461866001</v>
      </c>
      <c r="G21" s="702">
        <f t="shared" si="4"/>
        <v>43923.33461866001</v>
      </c>
      <c r="H21" s="702">
        <f t="shared" si="5"/>
        <v>43923.33461866001</v>
      </c>
      <c r="I21" s="702">
        <f t="shared" si="6"/>
        <v>43923.33461866001</v>
      </c>
      <c r="J21" s="702">
        <f t="shared" si="7"/>
        <v>43923.33461866001</v>
      </c>
      <c r="K21" s="702">
        <f t="shared" si="8"/>
        <v>43923.33461866001</v>
      </c>
      <c r="L21" s="702">
        <f t="shared" si="9"/>
        <v>43923.33461866001</v>
      </c>
      <c r="M21" s="702">
        <f t="shared" si="10"/>
        <v>43923.33461866001</v>
      </c>
      <c r="N21" s="702">
        <f t="shared" si="11"/>
        <v>43923.33461866001</v>
      </c>
      <c r="O21" s="703">
        <f t="shared" si="12"/>
        <v>527080.01542392024</v>
      </c>
      <c r="P21" s="704"/>
      <c r="Q21"/>
    </row>
    <row r="22" spans="1:17" s="695" customFormat="1" ht="12.75" customHeight="1" x14ac:dyDescent="0.25">
      <c r="A22" s="700" t="s">
        <v>166</v>
      </c>
      <c r="B22" s="701">
        <v>3.7144952969630278</v>
      </c>
      <c r="C22" s="702">
        <f t="shared" si="0"/>
        <v>7423.0172211766258</v>
      </c>
      <c r="D22" s="702">
        <f t="shared" si="1"/>
        <v>7423.0172211766258</v>
      </c>
      <c r="E22" s="702">
        <f t="shared" si="2"/>
        <v>7423.0172211766258</v>
      </c>
      <c r="F22" s="702">
        <f t="shared" si="3"/>
        <v>7423.0172211766258</v>
      </c>
      <c r="G22" s="702">
        <f t="shared" si="4"/>
        <v>7423.0172211766258</v>
      </c>
      <c r="H22" s="702">
        <f t="shared" si="5"/>
        <v>7423.0172211766258</v>
      </c>
      <c r="I22" s="702">
        <f t="shared" si="6"/>
        <v>7423.0172211766258</v>
      </c>
      <c r="J22" s="702">
        <f t="shared" si="7"/>
        <v>7423.0172211766258</v>
      </c>
      <c r="K22" s="702">
        <f t="shared" si="8"/>
        <v>7423.0172211766258</v>
      </c>
      <c r="L22" s="702">
        <f t="shared" si="9"/>
        <v>7423.0172211766258</v>
      </c>
      <c r="M22" s="702">
        <f t="shared" si="10"/>
        <v>7423.0172211766258</v>
      </c>
      <c r="N22" s="702">
        <f t="shared" si="11"/>
        <v>7423.0172211766258</v>
      </c>
      <c r="O22" s="703">
        <f t="shared" si="12"/>
        <v>89076.20665411948</v>
      </c>
      <c r="P22" s="704"/>
      <c r="Q22"/>
    </row>
    <row r="23" spans="1:17" s="695" customFormat="1" ht="12.75" customHeight="1" thickBot="1" x14ac:dyDescent="0.3">
      <c r="A23" s="700" t="s">
        <v>167</v>
      </c>
      <c r="B23" s="701">
        <v>5.0303764450364916</v>
      </c>
      <c r="C23" s="702">
        <f t="shared" si="0"/>
        <v>10052.663415952307</v>
      </c>
      <c r="D23" s="702">
        <f t="shared" si="1"/>
        <v>10052.663415952307</v>
      </c>
      <c r="E23" s="702">
        <f t="shared" si="2"/>
        <v>10052.663415952307</v>
      </c>
      <c r="F23" s="702">
        <f t="shared" si="3"/>
        <v>10052.663415952307</v>
      </c>
      <c r="G23" s="702">
        <f t="shared" si="4"/>
        <v>10052.663415952307</v>
      </c>
      <c r="H23" s="702">
        <f t="shared" si="5"/>
        <v>10052.663415952307</v>
      </c>
      <c r="I23" s="702">
        <f t="shared" si="6"/>
        <v>10052.663415952307</v>
      </c>
      <c r="J23" s="702">
        <f t="shared" si="7"/>
        <v>10052.663415952307</v>
      </c>
      <c r="K23" s="702">
        <f t="shared" si="8"/>
        <v>10052.663415952307</v>
      </c>
      <c r="L23" s="702">
        <f t="shared" si="9"/>
        <v>10052.663415952307</v>
      </c>
      <c r="M23" s="702">
        <f t="shared" si="10"/>
        <v>10052.663415952307</v>
      </c>
      <c r="N23" s="702">
        <f t="shared" si="11"/>
        <v>10052.663415952307</v>
      </c>
      <c r="O23" s="703">
        <f t="shared" si="12"/>
        <v>120631.9609914277</v>
      </c>
      <c r="P23" s="704"/>
      <c r="Q23"/>
    </row>
    <row r="24" spans="1:17" s="695" customFormat="1" ht="13.5" customHeight="1" thickBot="1" x14ac:dyDescent="0.3">
      <c r="A24" s="705" t="s">
        <v>293</v>
      </c>
      <c r="B24" s="706">
        <f>SUM(B4:B23)</f>
        <v>100</v>
      </c>
      <c r="C24" s="707">
        <f>SUM(C4:C23)</f>
        <v>199839.18749999997</v>
      </c>
      <c r="D24" s="707">
        <f t="shared" ref="D24:N24" si="13">SUM(D4:D23)</f>
        <v>199839.18749999997</v>
      </c>
      <c r="E24" s="707">
        <f t="shared" si="13"/>
        <v>199839.18749999997</v>
      </c>
      <c r="F24" s="707">
        <f t="shared" si="13"/>
        <v>199839.18749999997</v>
      </c>
      <c r="G24" s="707">
        <f t="shared" si="13"/>
        <v>199839.18749999997</v>
      </c>
      <c r="H24" s="707">
        <f t="shared" si="13"/>
        <v>199839.18749999997</v>
      </c>
      <c r="I24" s="707">
        <f t="shared" si="13"/>
        <v>199839.18749999997</v>
      </c>
      <c r="J24" s="707">
        <f t="shared" si="13"/>
        <v>199839.18749999997</v>
      </c>
      <c r="K24" s="707">
        <f t="shared" si="13"/>
        <v>199839.18749999997</v>
      </c>
      <c r="L24" s="707">
        <f t="shared" si="13"/>
        <v>199839.18749999997</v>
      </c>
      <c r="M24" s="707">
        <f t="shared" si="13"/>
        <v>199839.18749999997</v>
      </c>
      <c r="N24" s="707">
        <f t="shared" si="13"/>
        <v>199839.18749999997</v>
      </c>
      <c r="O24" s="707">
        <f>SUM(C24:N24)</f>
        <v>2398070.2499999995</v>
      </c>
      <c r="Q24"/>
    </row>
    <row r="25" spans="1:17" s="695" customFormat="1" x14ac:dyDescent="0.25">
      <c r="A25" s="708"/>
      <c r="B25" s="708"/>
      <c r="C25" s="708"/>
      <c r="D25" s="708"/>
      <c r="E25" s="708"/>
      <c r="F25" s="708"/>
      <c r="G25" s="708"/>
      <c r="H25" s="708"/>
      <c r="I25" s="708"/>
      <c r="J25" s="708"/>
      <c r="K25" s="708"/>
      <c r="L25" s="708"/>
      <c r="M25" s="708"/>
      <c r="N25" s="708"/>
      <c r="O25" s="708"/>
      <c r="Q25"/>
    </row>
    <row r="26" spans="1:17" s="695" customFormat="1" x14ac:dyDescent="0.25">
      <c r="A26" s="709" t="s">
        <v>294</v>
      </c>
      <c r="O26" s="704"/>
      <c r="Q26"/>
    </row>
    <row r="27" spans="1:17" s="695" customFormat="1" hidden="1" x14ac:dyDescent="0.25">
      <c r="Q27"/>
    </row>
    <row r="28" spans="1:17" s="695" customFormat="1" hidden="1" x14ac:dyDescent="0.25">
      <c r="Q28"/>
    </row>
    <row r="29" spans="1:17" s="695" customFormat="1" hidden="1" x14ac:dyDescent="0.25">
      <c r="C29" s="704">
        <v>199839.18749999997</v>
      </c>
      <c r="D29" s="704">
        <v>199839.18749999997</v>
      </c>
      <c r="E29" s="704">
        <v>199839.18749999997</v>
      </c>
      <c r="F29" s="704">
        <v>199839.18749999997</v>
      </c>
      <c r="G29" s="704">
        <v>199839.18749999997</v>
      </c>
      <c r="H29" s="704">
        <v>199839.18749999997</v>
      </c>
      <c r="I29" s="704">
        <v>199839.18749999997</v>
      </c>
      <c r="J29" s="704">
        <v>199839.18749999997</v>
      </c>
      <c r="K29" s="704">
        <v>199839.18749999997</v>
      </c>
      <c r="L29" s="704">
        <v>199839.18749999997</v>
      </c>
      <c r="M29" s="704">
        <v>199839.18749999997</v>
      </c>
      <c r="N29" s="704">
        <v>199839.18749999997</v>
      </c>
      <c r="O29" s="704">
        <f>SUM(C29:N29)</f>
        <v>2398070.2499999995</v>
      </c>
      <c r="Q29"/>
    </row>
    <row r="30" spans="1:17" s="695" customFormat="1" hidden="1" x14ac:dyDescent="0.25">
      <c r="A30"/>
      <c r="B30"/>
      <c r="C30"/>
      <c r="D30"/>
      <c r="E30"/>
      <c r="F30"/>
      <c r="G30"/>
      <c r="H30"/>
      <c r="I30"/>
      <c r="J30"/>
      <c r="K30"/>
      <c r="L30"/>
      <c r="M30"/>
      <c r="N30"/>
      <c r="P30"/>
      <c r="Q30"/>
    </row>
    <row r="31" spans="1:17" s="695" customFormat="1" hidden="1" x14ac:dyDescent="0.25">
      <c r="A31"/>
      <c r="B31"/>
      <c r="C31"/>
      <c r="D31"/>
      <c r="E31"/>
      <c r="F31"/>
      <c r="G31"/>
      <c r="H31"/>
      <c r="I31"/>
      <c r="J31"/>
      <c r="K31"/>
      <c r="L31"/>
      <c r="M31"/>
      <c r="N31"/>
      <c r="O31" s="704">
        <f>O29-O24</f>
        <v>0</v>
      </c>
      <c r="P31"/>
      <c r="Q31"/>
    </row>
    <row r="32" spans="1:17" s="695" customFormat="1" hidden="1" x14ac:dyDescent="0.25">
      <c r="A32"/>
      <c r="B32"/>
      <c r="C32"/>
      <c r="D32"/>
      <c r="E32"/>
      <c r="F32"/>
      <c r="G32"/>
      <c r="H32"/>
      <c r="I32"/>
      <c r="J32"/>
      <c r="K32"/>
      <c r="L32"/>
      <c r="M32"/>
      <c r="N32"/>
      <c r="P32"/>
      <c r="Q32"/>
    </row>
    <row r="33" spans="1:17" s="695" customFormat="1" x14ac:dyDescent="0.25">
      <c r="A33"/>
      <c r="B33"/>
      <c r="C33"/>
      <c r="D33"/>
      <c r="E33"/>
      <c r="F33"/>
      <c r="G33"/>
      <c r="H33"/>
      <c r="I33"/>
      <c r="J33"/>
      <c r="K33"/>
      <c r="L33"/>
      <c r="M33"/>
      <c r="N33"/>
      <c r="P33"/>
      <c r="Q33"/>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Q29"/>
  <sheetViews>
    <sheetView tabSelected="1" workbookViewId="0">
      <selection activeCell="U33" sqref="U33"/>
    </sheetView>
  </sheetViews>
  <sheetFormatPr baseColWidth="10" defaultRowHeight="12.75" x14ac:dyDescent="0.2"/>
  <cols>
    <col min="1" max="1" width="16.5703125" style="695" customWidth="1"/>
    <col min="2" max="2" width="9.28515625" style="695" hidden="1" customWidth="1"/>
    <col min="3" max="10" width="7.85546875" style="695" customWidth="1"/>
    <col min="11" max="11" width="10.140625" style="695" bestFit="1" customWidth="1"/>
    <col min="12" max="12" width="7.85546875" style="695" customWidth="1"/>
    <col min="13" max="14" width="10.140625" style="695" bestFit="1" customWidth="1"/>
    <col min="15" max="15" width="7.85546875" style="695" customWidth="1"/>
    <col min="16" max="16" width="12.7109375" style="695" bestFit="1" customWidth="1"/>
    <col min="17" max="16384" width="11.42578125" style="695"/>
  </cols>
  <sheetData>
    <row r="1" spans="1:17" x14ac:dyDescent="0.2">
      <c r="A1" s="958" t="s">
        <v>434</v>
      </c>
      <c r="B1" s="958"/>
      <c r="C1" s="958"/>
      <c r="D1" s="958"/>
      <c r="E1" s="958"/>
      <c r="F1" s="958"/>
      <c r="G1" s="958"/>
      <c r="H1" s="958"/>
      <c r="I1" s="958"/>
      <c r="J1" s="958"/>
      <c r="K1" s="958"/>
      <c r="L1" s="958"/>
      <c r="M1" s="958"/>
      <c r="N1" s="958"/>
      <c r="O1" s="958"/>
    </row>
    <row r="2" spans="1:17" ht="13.5" thickBot="1" x14ac:dyDescent="0.25"/>
    <row r="3" spans="1:17" ht="23.25" thickBot="1" x14ac:dyDescent="0.25">
      <c r="A3" s="696" t="s">
        <v>404</v>
      </c>
      <c r="B3" s="697" t="s">
        <v>286</v>
      </c>
      <c r="C3" s="696" t="s">
        <v>1</v>
      </c>
      <c r="D3" s="698" t="s">
        <v>2</v>
      </c>
      <c r="E3" s="696" t="s">
        <v>3</v>
      </c>
      <c r="F3" s="698" t="s">
        <v>4</v>
      </c>
      <c r="G3" s="696" t="s">
        <v>5</v>
      </c>
      <c r="H3" s="696" t="s">
        <v>6</v>
      </c>
      <c r="I3" s="696" t="s">
        <v>7</v>
      </c>
      <c r="J3" s="698" t="s">
        <v>8</v>
      </c>
      <c r="K3" s="696" t="s">
        <v>9</v>
      </c>
      <c r="L3" s="698" t="s">
        <v>10</v>
      </c>
      <c r="M3" s="696" t="s">
        <v>11</v>
      </c>
      <c r="N3" s="696" t="s">
        <v>12</v>
      </c>
      <c r="O3" s="699" t="s">
        <v>170</v>
      </c>
    </row>
    <row r="4" spans="1:17" ht="12.75" customHeight="1" x14ac:dyDescent="0.2">
      <c r="A4" s="700" t="s">
        <v>287</v>
      </c>
      <c r="B4" s="701">
        <f>'[3]FGP simpl'!$C$16</f>
        <v>3.6636711021849497</v>
      </c>
      <c r="C4" s="702">
        <f t="shared" ref="C4:C23" si="0">$C$29*B4/100</f>
        <v>26495.964336525285</v>
      </c>
      <c r="D4" s="702">
        <f t="shared" ref="D4:D23" si="1">$D$29*B4/100</f>
        <v>34355.640699795986</v>
      </c>
      <c r="E4" s="702">
        <f t="shared" ref="E4:E23" si="2">$E$29*B4/100</f>
        <v>27055.978446520865</v>
      </c>
      <c r="F4" s="702">
        <f t="shared" ref="F4:F23" si="3">$F$29*B4/100</f>
        <v>23926.746282284919</v>
      </c>
      <c r="G4" s="702">
        <f t="shared" ref="G4:G23" si="4">$G$29*B4/100</f>
        <v>25964.125689141052</v>
      </c>
      <c r="H4" s="702">
        <f t="shared" ref="H4:H23" si="5">$H$29*B4/100</f>
        <v>23113.490982446336</v>
      </c>
      <c r="I4" s="702">
        <f t="shared" ref="I4:I23" si="6">$I$29*B4/100</f>
        <v>24585.242619260553</v>
      </c>
      <c r="J4" s="702">
        <f t="shared" ref="J4:J23" si="7">$J$29*B4/100</f>
        <v>23957.707966769485</v>
      </c>
      <c r="K4" s="702">
        <f t="shared" ref="K4:K23" si="8">$K$29*B4/100</f>
        <v>23186.649914768088</v>
      </c>
      <c r="L4" s="702">
        <f t="shared" ref="L4:L23" si="9">$L$29*B4/100</f>
        <v>23839.516105177448</v>
      </c>
      <c r="M4" s="702">
        <f t="shared" ref="M4:M23" si="10">$M$29*B4/100</f>
        <v>22454.994645470691</v>
      </c>
      <c r="N4" s="702">
        <f t="shared" ref="N4:N23" si="11">$N$29*B4/100</f>
        <v>24315.086259938773</v>
      </c>
      <c r="O4" s="703">
        <f>SUM(C4:N4)</f>
        <v>303251.14394809952</v>
      </c>
      <c r="P4" s="704"/>
      <c r="Q4" s="704"/>
    </row>
    <row r="5" spans="1:17" ht="12.75" customHeight="1" x14ac:dyDescent="0.2">
      <c r="A5" s="700" t="s">
        <v>149</v>
      </c>
      <c r="B5" s="701">
        <v>2.8774681766767136</v>
      </c>
      <c r="C5" s="702">
        <f t="shared" si="0"/>
        <v>20810.081489914217</v>
      </c>
      <c r="D5" s="702">
        <f t="shared" si="1"/>
        <v>26983.116127439902</v>
      </c>
      <c r="E5" s="702">
        <f t="shared" si="2"/>
        <v>21249.91976552831</v>
      </c>
      <c r="F5" s="702">
        <f t="shared" si="3"/>
        <v>18792.202978491361</v>
      </c>
      <c r="G5" s="702">
        <f t="shared" si="4"/>
        <v>20392.372383312853</v>
      </c>
      <c r="H5" s="702">
        <f t="shared" si="5"/>
        <v>18153.467628201968</v>
      </c>
      <c r="I5" s="702">
        <f t="shared" si="6"/>
        <v>19309.389756795652</v>
      </c>
      <c r="J5" s="702">
        <f t="shared" si="7"/>
        <v>18816.520462052453</v>
      </c>
      <c r="K5" s="702">
        <f t="shared" si="8"/>
        <v>18210.927070854981</v>
      </c>
      <c r="L5" s="702">
        <f t="shared" si="9"/>
        <v>18723.691899938771</v>
      </c>
      <c r="M5" s="702">
        <f t="shared" si="10"/>
        <v>17636.280849897674</v>
      </c>
      <c r="N5" s="702">
        <f t="shared" si="11"/>
        <v>19097.20741154865</v>
      </c>
      <c r="O5" s="703">
        <f t="shared" ref="O5:O23" si="12">SUM(C5:N5)</f>
        <v>238175.17782397682</v>
      </c>
      <c r="P5" s="704"/>
    </row>
    <row r="6" spans="1:17" ht="12.75" customHeight="1" x14ac:dyDescent="0.2">
      <c r="A6" s="700" t="s">
        <v>150</v>
      </c>
      <c r="B6" s="701">
        <v>4.7152682285520395</v>
      </c>
      <c r="C6" s="702">
        <f t="shared" si="0"/>
        <v>34101.199407980748</v>
      </c>
      <c r="D6" s="702">
        <f t="shared" si="1"/>
        <v>44216.867875144613</v>
      </c>
      <c r="E6" s="702">
        <f t="shared" si="2"/>
        <v>34821.956448324301</v>
      </c>
      <c r="F6" s="702">
        <f t="shared" si="3"/>
        <v>30794.529151429349</v>
      </c>
      <c r="G6" s="702">
        <f t="shared" si="4"/>
        <v>33416.705137948877</v>
      </c>
      <c r="H6" s="702">
        <f t="shared" si="5"/>
        <v>29747.842161774763</v>
      </c>
      <c r="I6" s="702">
        <f t="shared" si="6"/>
        <v>31642.036138207539</v>
      </c>
      <c r="J6" s="702">
        <f t="shared" si="7"/>
        <v>30834.377883228841</v>
      </c>
      <c r="K6" s="702">
        <f t="shared" si="8"/>
        <v>29842.000174213663</v>
      </c>
      <c r="L6" s="702">
        <f t="shared" si="9"/>
        <v>30682.260972541637</v>
      </c>
      <c r="M6" s="702">
        <f t="shared" si="10"/>
        <v>28900.335174996566</v>
      </c>
      <c r="N6" s="702">
        <f t="shared" si="11"/>
        <v>31294.335795485295</v>
      </c>
      <c r="O6" s="703">
        <f t="shared" si="12"/>
        <v>390294.44632127619</v>
      </c>
      <c r="P6" s="704"/>
    </row>
    <row r="7" spans="1:17" ht="12.75" customHeight="1" x14ac:dyDescent="0.2">
      <c r="A7" s="700" t="s">
        <v>288</v>
      </c>
      <c r="B7" s="701">
        <v>9.1392838894846484</v>
      </c>
      <c r="C7" s="702">
        <f t="shared" si="0"/>
        <v>66096.036801106078</v>
      </c>
      <c r="D7" s="702">
        <f t="shared" si="1"/>
        <v>85702.549383680409</v>
      </c>
      <c r="E7" s="702">
        <f t="shared" si="2"/>
        <v>67493.031179317157</v>
      </c>
      <c r="F7" s="702">
        <f t="shared" si="3"/>
        <v>59686.94261203205</v>
      </c>
      <c r="G7" s="702">
        <f t="shared" si="4"/>
        <v>64769.328085647096</v>
      </c>
      <c r="H7" s="702">
        <f t="shared" si="5"/>
        <v>57658.220367991045</v>
      </c>
      <c r="I7" s="702">
        <f t="shared" si="6"/>
        <v>61329.607795655364</v>
      </c>
      <c r="J7" s="702">
        <f t="shared" si="7"/>
        <v>59764.178700182085</v>
      </c>
      <c r="K7" s="702">
        <f t="shared" si="8"/>
        <v>57840.720443159196</v>
      </c>
      <c r="L7" s="702">
        <f t="shared" si="9"/>
        <v>59469.340832265356</v>
      </c>
      <c r="M7" s="702">
        <f t="shared" si="10"/>
        <v>56015.555184367717</v>
      </c>
      <c r="N7" s="702">
        <f t="shared" si="11"/>
        <v>60655.683856107695</v>
      </c>
      <c r="O7" s="703">
        <f t="shared" si="12"/>
        <v>756481.1952415111</v>
      </c>
      <c r="P7" s="704"/>
    </row>
    <row r="8" spans="1:17" ht="12.75" customHeight="1" x14ac:dyDescent="0.2">
      <c r="A8" s="700" t="s">
        <v>152</v>
      </c>
      <c r="B8" s="701">
        <v>5.3963653133391265</v>
      </c>
      <c r="C8" s="702">
        <f t="shared" si="0"/>
        <v>39026.948353476284</v>
      </c>
      <c r="D8" s="702">
        <f t="shared" si="1"/>
        <v>50603.774907456704</v>
      </c>
      <c r="E8" s="702">
        <f t="shared" si="2"/>
        <v>39851.815169812056</v>
      </c>
      <c r="F8" s="702">
        <f t="shared" si="3"/>
        <v>35242.645995647603</v>
      </c>
      <c r="G8" s="702">
        <f t="shared" si="4"/>
        <v>38243.582284582757</v>
      </c>
      <c r="H8" s="702">
        <f t="shared" si="5"/>
        <v>34044.770267031876</v>
      </c>
      <c r="I8" s="702">
        <f t="shared" si="6"/>
        <v>36212.571158879895</v>
      </c>
      <c r="J8" s="702">
        <f t="shared" si="7"/>
        <v>35288.250678910626</v>
      </c>
      <c r="K8" s="702">
        <f t="shared" si="8"/>
        <v>34152.52893688262</v>
      </c>
      <c r="L8" s="702">
        <f t="shared" si="9"/>
        <v>35114.16123571965</v>
      </c>
      <c r="M8" s="702">
        <f t="shared" si="10"/>
        <v>33074.845103799576</v>
      </c>
      <c r="N8" s="702">
        <f t="shared" si="11"/>
        <v>35814.64722794827</v>
      </c>
      <c r="O8" s="703">
        <f t="shared" si="12"/>
        <v>446670.54132014792</v>
      </c>
      <c r="P8" s="704"/>
    </row>
    <row r="9" spans="1:17" ht="12.75" customHeight="1" x14ac:dyDescent="0.2">
      <c r="A9" s="700" t="s">
        <v>289</v>
      </c>
      <c r="B9" s="701">
        <v>3.6295907588400458</v>
      </c>
      <c r="C9" s="702">
        <f t="shared" si="0"/>
        <v>26249.492549987299</v>
      </c>
      <c r="D9" s="702">
        <f t="shared" si="1"/>
        <v>34036.056327119913</v>
      </c>
      <c r="E9" s="702">
        <f t="shared" si="2"/>
        <v>26804.297275020555</v>
      </c>
      <c r="F9" s="702">
        <f t="shared" si="3"/>
        <v>23704.173975523991</v>
      </c>
      <c r="G9" s="702">
        <f t="shared" si="4"/>
        <v>25722.601192684906</v>
      </c>
      <c r="H9" s="702">
        <f t="shared" si="5"/>
        <v>22898.483770660503</v>
      </c>
      <c r="I9" s="702">
        <f t="shared" si="6"/>
        <v>24356.544822347929</v>
      </c>
      <c r="J9" s="702">
        <f t="shared" si="7"/>
        <v>23734.847647026945</v>
      </c>
      <c r="K9" s="702">
        <f t="shared" si="8"/>
        <v>22970.962161126092</v>
      </c>
      <c r="L9" s="702">
        <f t="shared" si="9"/>
        <v>23617.755234351385</v>
      </c>
      <c r="M9" s="702">
        <f t="shared" si="10"/>
        <v>22246.112923836557</v>
      </c>
      <c r="N9" s="702">
        <f t="shared" si="11"/>
        <v>24088.901521984139</v>
      </c>
      <c r="O9" s="703">
        <f t="shared" si="12"/>
        <v>300430.22940167016</v>
      </c>
      <c r="P9" s="704"/>
    </row>
    <row r="10" spans="1:17" ht="12.75" customHeight="1" x14ac:dyDescent="0.2">
      <c r="A10" s="700" t="s">
        <v>154</v>
      </c>
      <c r="B10" s="701">
        <v>4.0700473326514279</v>
      </c>
      <c r="C10" s="702">
        <f t="shared" si="0"/>
        <v>29434.909948545406</v>
      </c>
      <c r="D10" s="702">
        <f t="shared" si="1"/>
        <v>38166.385543818011</v>
      </c>
      <c r="E10" s="702">
        <f t="shared" si="2"/>
        <v>30057.041103625172</v>
      </c>
      <c r="F10" s="702">
        <f t="shared" si="3"/>
        <v>26580.712943136106</v>
      </c>
      <c r="G10" s="702">
        <f t="shared" si="4"/>
        <v>28844.079492477395</v>
      </c>
      <c r="H10" s="702">
        <f t="shared" si="5"/>
        <v>25677.250958816974</v>
      </c>
      <c r="I10" s="702">
        <f t="shared" si="6"/>
        <v>27312.250023053039</v>
      </c>
      <c r="J10" s="702">
        <f t="shared" si="7"/>
        <v>26615.108913144344</v>
      </c>
      <c r="K10" s="702">
        <f t="shared" si="8"/>
        <v>25758.524716490858</v>
      </c>
      <c r="L10" s="702">
        <f t="shared" si="9"/>
        <v>26483.807151169338</v>
      </c>
      <c r="M10" s="702">
        <f t="shared" si="10"/>
        <v>24945.713878900035</v>
      </c>
      <c r="N10" s="702">
        <f t="shared" si="11"/>
        <v>27012.127785278823</v>
      </c>
      <c r="O10" s="703">
        <f t="shared" si="12"/>
        <v>336887.91245845548</v>
      </c>
      <c r="P10" s="704"/>
    </row>
    <row r="11" spans="1:17" ht="12.75" customHeight="1" x14ac:dyDescent="0.2">
      <c r="A11" s="700" t="s">
        <v>155</v>
      </c>
      <c r="B11" s="701">
        <v>3.2056447774490451</v>
      </c>
      <c r="C11" s="702">
        <f t="shared" si="0"/>
        <v>23183.481084916079</v>
      </c>
      <c r="D11" s="702">
        <f t="shared" si="1"/>
        <v>30060.553230211095</v>
      </c>
      <c r="E11" s="702">
        <f t="shared" si="2"/>
        <v>23673.483123017828</v>
      </c>
      <c r="F11" s="702">
        <f t="shared" si="3"/>
        <v>20935.462578890361</v>
      </c>
      <c r="G11" s="702">
        <f t="shared" si="4"/>
        <v>22718.132057975297</v>
      </c>
      <c r="H11" s="702">
        <f t="shared" si="5"/>
        <v>20223.879161070578</v>
      </c>
      <c r="I11" s="702">
        <f t="shared" si="6"/>
        <v>21511.634752843518</v>
      </c>
      <c r="J11" s="702">
        <f t="shared" si="7"/>
        <v>20962.553482904579</v>
      </c>
      <c r="K11" s="702">
        <f t="shared" si="8"/>
        <v>20287.891880220264</v>
      </c>
      <c r="L11" s="702">
        <f t="shared" si="9"/>
        <v>20859.137779561683</v>
      </c>
      <c r="M11" s="702">
        <f t="shared" si="10"/>
        <v>19647.706987117417</v>
      </c>
      <c r="N11" s="702">
        <f t="shared" si="11"/>
        <v>21275.252911188014</v>
      </c>
      <c r="O11" s="703">
        <f t="shared" si="12"/>
        <v>265339.16902991669</v>
      </c>
      <c r="P11" s="704"/>
    </row>
    <row r="12" spans="1:17" ht="12.75" customHeight="1" x14ac:dyDescent="0.2">
      <c r="A12" s="700" t="s">
        <v>156</v>
      </c>
      <c r="B12" s="701">
        <v>3.1677886526185874</v>
      </c>
      <c r="C12" s="702">
        <f t="shared" si="0"/>
        <v>22909.702542724161</v>
      </c>
      <c r="D12" s="702">
        <f t="shared" si="1"/>
        <v>29705.561915028306</v>
      </c>
      <c r="E12" s="702">
        <f t="shared" si="2"/>
        <v>23393.918045008832</v>
      </c>
      <c r="F12" s="702">
        <f t="shared" si="3"/>
        <v>20688.23135403814</v>
      </c>
      <c r="G12" s="702">
        <f t="shared" si="4"/>
        <v>22449.848919072458</v>
      </c>
      <c r="H12" s="702">
        <f t="shared" si="5"/>
        <v>19985.051172560008</v>
      </c>
      <c r="I12" s="702">
        <f t="shared" si="6"/>
        <v>21257.599391146679</v>
      </c>
      <c r="J12" s="702">
        <f t="shared" si="7"/>
        <v>20715.002335941419</v>
      </c>
      <c r="K12" s="702">
        <f t="shared" si="8"/>
        <v>20048.307952216986</v>
      </c>
      <c r="L12" s="702">
        <f t="shared" si="9"/>
        <v>20612.807890113614</v>
      </c>
      <c r="M12" s="702">
        <f t="shared" si="10"/>
        <v>19415.683135451465</v>
      </c>
      <c r="N12" s="702">
        <f t="shared" si="11"/>
        <v>21024.009031744077</v>
      </c>
      <c r="O12" s="703">
        <f t="shared" si="12"/>
        <v>262205.72368504619</v>
      </c>
      <c r="P12" s="704"/>
    </row>
    <row r="13" spans="1:17" ht="12.75" customHeight="1" x14ac:dyDescent="0.2">
      <c r="A13" s="700" t="s">
        <v>157</v>
      </c>
      <c r="B13" s="701">
        <v>2.8145431996763457</v>
      </c>
      <c r="C13" s="702">
        <f t="shared" si="0"/>
        <v>20355.002990786907</v>
      </c>
      <c r="D13" s="702">
        <f t="shared" si="1"/>
        <v>26393.044627959971</v>
      </c>
      <c r="E13" s="702">
        <f t="shared" si="2"/>
        <v>20785.222806116635</v>
      </c>
      <c r="F13" s="702">
        <f t="shared" si="3"/>
        <v>18381.251799328878</v>
      </c>
      <c r="G13" s="702">
        <f t="shared" si="4"/>
        <v>19946.428419934291</v>
      </c>
      <c r="H13" s="702">
        <f t="shared" si="5"/>
        <v>17756.484425315321</v>
      </c>
      <c r="I13" s="702">
        <f t="shared" si="6"/>
        <v>18887.128646773297</v>
      </c>
      <c r="J13" s="702">
        <f t="shared" si="7"/>
        <v>18405.037503909341</v>
      </c>
      <c r="K13" s="702">
        <f t="shared" si="8"/>
        <v>17812.687334833856</v>
      </c>
      <c r="L13" s="702">
        <f t="shared" si="9"/>
        <v>18314.238933016182</v>
      </c>
      <c r="M13" s="702">
        <f t="shared" si="10"/>
        <v>17250.607577870895</v>
      </c>
      <c r="N13" s="702">
        <f t="shared" si="11"/>
        <v>18679.586342136568</v>
      </c>
      <c r="O13" s="703">
        <f t="shared" si="12"/>
        <v>232966.72140798214</v>
      </c>
      <c r="P13" s="704"/>
    </row>
    <row r="14" spans="1:17" ht="12.75" customHeight="1" x14ac:dyDescent="0.2">
      <c r="A14" s="700" t="s">
        <v>158</v>
      </c>
      <c r="B14" s="701">
        <v>3.814501471077032</v>
      </c>
      <c r="C14" s="702">
        <f t="shared" si="0"/>
        <v>27586.781706197518</v>
      </c>
      <c r="D14" s="702">
        <f t="shared" si="1"/>
        <v>35770.034572975179</v>
      </c>
      <c r="E14" s="702">
        <f t="shared" si="2"/>
        <v>28169.851143060467</v>
      </c>
      <c r="F14" s="702">
        <f t="shared" si="3"/>
        <v>24911.791027702169</v>
      </c>
      <c r="G14" s="702">
        <f t="shared" si="4"/>
        <v>27033.047692897882</v>
      </c>
      <c r="H14" s="702">
        <f t="shared" si="5"/>
        <v>24065.054666530061</v>
      </c>
      <c r="I14" s="702">
        <f t="shared" si="6"/>
        <v>25597.397124983767</v>
      </c>
      <c r="J14" s="702">
        <f t="shared" si="7"/>
        <v>24944.027379634241</v>
      </c>
      <c r="K14" s="702">
        <f t="shared" si="8"/>
        <v>24141.225492780628</v>
      </c>
      <c r="L14" s="702">
        <f t="shared" si="9"/>
        <v>24820.969654926554</v>
      </c>
      <c r="M14" s="702">
        <f t="shared" si="10"/>
        <v>23379.44856924846</v>
      </c>
      <c r="N14" s="702">
        <f t="shared" si="11"/>
        <v>25316.118647382656</v>
      </c>
      <c r="O14" s="703">
        <f t="shared" si="12"/>
        <v>315735.74767831952</v>
      </c>
      <c r="P14" s="704"/>
    </row>
    <row r="15" spans="1:17" ht="12.75" customHeight="1" x14ac:dyDescent="0.2">
      <c r="A15" s="700" t="s">
        <v>159</v>
      </c>
      <c r="B15" s="701">
        <v>3.0792318274418586</v>
      </c>
      <c r="C15" s="702">
        <f t="shared" si="0"/>
        <v>22269.252454221631</v>
      </c>
      <c r="D15" s="702">
        <f t="shared" si="1"/>
        <v>28875.130803056523</v>
      </c>
      <c r="E15" s="702">
        <f t="shared" si="2"/>
        <v>22739.931514437081</v>
      </c>
      <c r="F15" s="702">
        <f t="shared" si="3"/>
        <v>20109.883399631264</v>
      </c>
      <c r="G15" s="702">
        <f t="shared" si="4"/>
        <v>21822.25422637512</v>
      </c>
      <c r="H15" s="702">
        <f t="shared" si="5"/>
        <v>19426.360907231414</v>
      </c>
      <c r="I15" s="702">
        <f t="shared" si="6"/>
        <v>20663.334520792218</v>
      </c>
      <c r="J15" s="702">
        <f t="shared" si="7"/>
        <v>20135.905987804974</v>
      </c>
      <c r="K15" s="702">
        <f t="shared" si="8"/>
        <v>19487.849317785647</v>
      </c>
      <c r="L15" s="702">
        <f t="shared" si="9"/>
        <v>20036.568429435785</v>
      </c>
      <c r="M15" s="702">
        <f t="shared" si="10"/>
        <v>18872.909786070457</v>
      </c>
      <c r="N15" s="702">
        <f t="shared" si="11"/>
        <v>20436.274275260534</v>
      </c>
      <c r="O15" s="703">
        <f t="shared" si="12"/>
        <v>254875.65562210264</v>
      </c>
      <c r="P15" s="704"/>
    </row>
    <row r="16" spans="1:17" ht="12.75" customHeight="1" x14ac:dyDescent="0.2">
      <c r="A16" s="700" t="s">
        <v>160</v>
      </c>
      <c r="B16" s="701">
        <v>3.9687689066587866</v>
      </c>
      <c r="C16" s="702">
        <f t="shared" si="0"/>
        <v>28702.456218853331</v>
      </c>
      <c r="D16" s="702">
        <f t="shared" si="1"/>
        <v>37216.659130885106</v>
      </c>
      <c r="E16" s="702">
        <f t="shared" si="2"/>
        <v>29309.106358849564</v>
      </c>
      <c r="F16" s="702">
        <f t="shared" si="3"/>
        <v>25919.282608641857</v>
      </c>
      <c r="G16" s="702">
        <f t="shared" si="4"/>
        <v>28126.327896133753</v>
      </c>
      <c r="H16" s="702">
        <f t="shared" si="5"/>
        <v>25038.302232087324</v>
      </c>
      <c r="I16" s="702">
        <f t="shared" si="6"/>
        <v>26632.616233425753</v>
      </c>
      <c r="J16" s="702">
        <f t="shared" si="7"/>
        <v>25952.822674672032</v>
      </c>
      <c r="K16" s="702">
        <f t="shared" si="8"/>
        <v>25117.553586192167</v>
      </c>
      <c r="L16" s="702">
        <f t="shared" si="9"/>
        <v>25824.788205358764</v>
      </c>
      <c r="M16" s="702">
        <f t="shared" si="10"/>
        <v>24324.968607303425</v>
      </c>
      <c r="N16" s="702">
        <f t="shared" si="11"/>
        <v>26339.962190825423</v>
      </c>
      <c r="O16" s="703">
        <f t="shared" si="12"/>
        <v>328504.84594322852</v>
      </c>
      <c r="P16" s="704"/>
    </row>
    <row r="17" spans="1:16" ht="12.75" customHeight="1" x14ac:dyDescent="0.2">
      <c r="A17" s="700" t="s">
        <v>290</v>
      </c>
      <c r="B17" s="701">
        <v>2.5568285677800717</v>
      </c>
      <c r="C17" s="702">
        <f t="shared" si="0"/>
        <v>18491.190026885186</v>
      </c>
      <c r="D17" s="702">
        <f t="shared" si="1"/>
        <v>23976.3562709652</v>
      </c>
      <c r="E17" s="702">
        <f t="shared" si="2"/>
        <v>18882.016614441774</v>
      </c>
      <c r="F17" s="702">
        <f t="shared" si="3"/>
        <v>16698.166053193767</v>
      </c>
      <c r="G17" s="702">
        <f t="shared" si="4"/>
        <v>18120.026729429108</v>
      </c>
      <c r="H17" s="702">
        <f t="shared" si="5"/>
        <v>16130.605722167937</v>
      </c>
      <c r="I17" s="702">
        <f t="shared" si="6"/>
        <v>17157.722110273706</v>
      </c>
      <c r="J17" s="702">
        <f t="shared" si="7"/>
        <v>16719.773811420073</v>
      </c>
      <c r="K17" s="702">
        <f t="shared" si="8"/>
        <v>16181.662392630797</v>
      </c>
      <c r="L17" s="702">
        <f t="shared" si="9"/>
        <v>16637.289243409203</v>
      </c>
      <c r="M17" s="702">
        <f t="shared" si="10"/>
        <v>15671.049665087994</v>
      </c>
      <c r="N17" s="702">
        <f t="shared" si="11"/>
        <v>16969.183489307034</v>
      </c>
      <c r="O17" s="703">
        <f t="shared" si="12"/>
        <v>211635.0421292118</v>
      </c>
      <c r="P17" s="704"/>
    </row>
    <row r="18" spans="1:16" ht="12.75" customHeight="1" x14ac:dyDescent="0.2">
      <c r="A18" s="700" t="s">
        <v>291</v>
      </c>
      <c r="B18" s="701">
        <v>3.0448340829893383</v>
      </c>
      <c r="C18" s="702">
        <f t="shared" si="0"/>
        <v>22020.485197322578</v>
      </c>
      <c r="D18" s="702">
        <f t="shared" si="1"/>
        <v>28552.570039185164</v>
      </c>
      <c r="E18" s="702">
        <f t="shared" si="2"/>
        <v>22485.906355911997</v>
      </c>
      <c r="F18" s="702">
        <f t="shared" si="3"/>
        <v>19885.238205987247</v>
      </c>
      <c r="G18" s="702">
        <f t="shared" si="4"/>
        <v>21578.480335248387</v>
      </c>
      <c r="H18" s="702">
        <f t="shared" si="5"/>
        <v>19209.351264704917</v>
      </c>
      <c r="I18" s="702">
        <f t="shared" si="6"/>
        <v>20432.506788352974</v>
      </c>
      <c r="J18" s="702">
        <f t="shared" si="7"/>
        <v>19910.970098822589</v>
      </c>
      <c r="K18" s="702">
        <f t="shared" si="8"/>
        <v>19270.152795299611</v>
      </c>
      <c r="L18" s="702">
        <f t="shared" si="9"/>
        <v>19812.74222888831</v>
      </c>
      <c r="M18" s="702">
        <f t="shared" si="10"/>
        <v>18662.082682339187</v>
      </c>
      <c r="N18" s="702">
        <f t="shared" si="11"/>
        <v>20207.983006698909</v>
      </c>
      <c r="O18" s="703">
        <f t="shared" si="12"/>
        <v>252028.46899876185</v>
      </c>
      <c r="P18" s="704"/>
    </row>
    <row r="19" spans="1:16" ht="12.75" customHeight="1" x14ac:dyDescent="0.2">
      <c r="A19" s="700" t="s">
        <v>292</v>
      </c>
      <c r="B19" s="701">
        <v>6.4580166897572191</v>
      </c>
      <c r="C19" s="702">
        <f t="shared" si="0"/>
        <v>46704.896570667734</v>
      </c>
      <c r="D19" s="702">
        <f t="shared" si="1"/>
        <v>60559.284618716418</v>
      </c>
      <c r="E19" s="702">
        <f t="shared" si="2"/>
        <v>47692.043169797267</v>
      </c>
      <c r="F19" s="702">
        <f t="shared" si="3"/>
        <v>42176.091279162552</v>
      </c>
      <c r="G19" s="702">
        <f t="shared" si="4"/>
        <v>45767.41534889079</v>
      </c>
      <c r="H19" s="702">
        <f t="shared" si="5"/>
        <v>40742.552035899454</v>
      </c>
      <c r="I19" s="702">
        <f t="shared" si="6"/>
        <v>43336.834210425259</v>
      </c>
      <c r="J19" s="702">
        <f t="shared" si="7"/>
        <v>42230.66797820769</v>
      </c>
      <c r="K19" s="702">
        <f t="shared" si="8"/>
        <v>40871.510556673042</v>
      </c>
      <c r="L19" s="702">
        <f t="shared" si="9"/>
        <v>42022.329130787773</v>
      </c>
      <c r="M19" s="702">
        <f t="shared" si="10"/>
        <v>39581.809104636734</v>
      </c>
      <c r="N19" s="702">
        <f t="shared" si="11"/>
        <v>42860.62490323509</v>
      </c>
      <c r="O19" s="703">
        <f t="shared" si="12"/>
        <v>534546.05890709977</v>
      </c>
      <c r="P19" s="704"/>
    </row>
    <row r="20" spans="1:16" ht="12.75" customHeight="1" x14ac:dyDescent="0.2">
      <c r="A20" s="700" t="s">
        <v>164</v>
      </c>
      <c r="B20" s="701">
        <v>3.6739352083662298</v>
      </c>
      <c r="C20" s="702">
        <f t="shared" si="0"/>
        <v>26570.195178688849</v>
      </c>
      <c r="D20" s="702">
        <f t="shared" si="1"/>
        <v>34451.891136648323</v>
      </c>
      <c r="E20" s="702">
        <f t="shared" si="2"/>
        <v>27131.778218898875</v>
      </c>
      <c r="F20" s="702">
        <f t="shared" si="3"/>
        <v>23993.779227536874</v>
      </c>
      <c r="G20" s="702">
        <f t="shared" si="4"/>
        <v>26036.866537198759</v>
      </c>
      <c r="H20" s="702">
        <f t="shared" si="5"/>
        <v>23178.24551937035</v>
      </c>
      <c r="I20" s="702">
        <f t="shared" si="6"/>
        <v>24654.120401599183</v>
      </c>
      <c r="J20" s="702">
        <f t="shared" si="7"/>
        <v>24024.827653982775</v>
      </c>
      <c r="K20" s="702">
        <f t="shared" si="8"/>
        <v>23251.609413062411</v>
      </c>
      <c r="L20" s="702">
        <f t="shared" si="9"/>
        <v>23906.304667193275</v>
      </c>
      <c r="M20" s="702">
        <f t="shared" si="10"/>
        <v>22517.904345308034</v>
      </c>
      <c r="N20" s="702">
        <f t="shared" si="11"/>
        <v>24383.207174785672</v>
      </c>
      <c r="O20" s="703">
        <f t="shared" si="12"/>
        <v>304100.72947427334</v>
      </c>
      <c r="P20" s="704"/>
    </row>
    <row r="21" spans="1:16" ht="12.75" customHeight="1" x14ac:dyDescent="0.2">
      <c r="A21" s="700" t="s">
        <v>165</v>
      </c>
      <c r="B21" s="701">
        <v>21.979340072457017</v>
      </c>
      <c r="C21" s="702">
        <f t="shared" si="0"/>
        <v>158956.35674088498</v>
      </c>
      <c r="D21" s="702">
        <f t="shared" si="1"/>
        <v>206108.65148283207</v>
      </c>
      <c r="E21" s="702">
        <f t="shared" si="2"/>
        <v>162316.03074700048</v>
      </c>
      <c r="F21" s="702">
        <f t="shared" si="3"/>
        <v>143542.93240244815</v>
      </c>
      <c r="G21" s="702">
        <f t="shared" si="4"/>
        <v>155765.71484959673</v>
      </c>
      <c r="H21" s="702">
        <f t="shared" si="5"/>
        <v>138663.99695700925</v>
      </c>
      <c r="I21" s="702">
        <f t="shared" si="6"/>
        <v>147493.42755421629</v>
      </c>
      <c r="J21" s="702">
        <f t="shared" si="7"/>
        <v>143728.67980540049</v>
      </c>
      <c r="K21" s="702">
        <f t="shared" si="8"/>
        <v>139102.89690408114</v>
      </c>
      <c r="L21" s="702">
        <f t="shared" si="9"/>
        <v>143019.61530499297</v>
      </c>
      <c r="M21" s="702">
        <f t="shared" si="10"/>
        <v>134713.50180524107</v>
      </c>
      <c r="N21" s="702">
        <f t="shared" si="11"/>
        <v>145872.68750177842</v>
      </c>
      <c r="O21" s="703">
        <f t="shared" si="12"/>
        <v>1819284.4920554818</v>
      </c>
      <c r="P21" s="704"/>
    </row>
    <row r="22" spans="1:16" ht="12.75" customHeight="1" x14ac:dyDescent="0.2">
      <c r="A22" s="700" t="s">
        <v>166</v>
      </c>
      <c r="B22" s="701">
        <v>3.7144952969630278</v>
      </c>
      <c r="C22" s="702">
        <f t="shared" si="0"/>
        <v>26863.529004508026</v>
      </c>
      <c r="D22" s="702">
        <f t="shared" si="1"/>
        <v>34832.23855095428</v>
      </c>
      <c r="E22" s="702">
        <f t="shared" si="2"/>
        <v>27431.311897620606</v>
      </c>
      <c r="F22" s="702">
        <f t="shared" si="3"/>
        <v>24258.669530725885</v>
      </c>
      <c r="G22" s="702">
        <f t="shared" si="4"/>
        <v>26324.312437476736</v>
      </c>
      <c r="H22" s="702">
        <f t="shared" si="5"/>
        <v>23434.132365072797</v>
      </c>
      <c r="I22" s="702">
        <f t="shared" si="6"/>
        <v>24926.300843292298</v>
      </c>
      <c r="J22" s="702">
        <f t="shared" si="7"/>
        <v>24290.06073048052</v>
      </c>
      <c r="K22" s="702">
        <f t="shared" si="8"/>
        <v>23508.30619303403</v>
      </c>
      <c r="L22" s="702">
        <f t="shared" si="9"/>
        <v>24170.229254952843</v>
      </c>
      <c r="M22" s="702">
        <f t="shared" si="10"/>
        <v>22766.501052506381</v>
      </c>
      <c r="N22" s="702">
        <f t="shared" si="11"/>
        <v>24652.396745965721</v>
      </c>
      <c r="O22" s="703">
        <f t="shared" si="12"/>
        <v>307457.98860659008</v>
      </c>
      <c r="P22" s="704"/>
    </row>
    <row r="23" spans="1:16" ht="12.75" customHeight="1" thickBot="1" x14ac:dyDescent="0.25">
      <c r="A23" s="700" t="s">
        <v>167</v>
      </c>
      <c r="B23" s="701">
        <v>5.0303764450364916</v>
      </c>
      <c r="C23" s="702">
        <f t="shared" si="0"/>
        <v>36380.087395807735</v>
      </c>
      <c r="D23" s="702">
        <f t="shared" si="1"/>
        <v>47171.757756126848</v>
      </c>
      <c r="E23" s="702">
        <f t="shared" si="2"/>
        <v>37149.010617690234</v>
      </c>
      <c r="F23" s="702">
        <f t="shared" si="3"/>
        <v>32852.441594167554</v>
      </c>
      <c r="G23" s="702">
        <f t="shared" si="4"/>
        <v>35649.850283975786</v>
      </c>
      <c r="H23" s="702">
        <f t="shared" si="5"/>
        <v>31735.807434057129</v>
      </c>
      <c r="I23" s="702">
        <f t="shared" si="6"/>
        <v>33756.585107674953</v>
      </c>
      <c r="J23" s="702">
        <f t="shared" si="7"/>
        <v>32894.953305504554</v>
      </c>
      <c r="K23" s="702">
        <f t="shared" si="8"/>
        <v>31836.257763693946</v>
      </c>
      <c r="L23" s="702">
        <f t="shared" si="9"/>
        <v>32732.670846199449</v>
      </c>
      <c r="M23" s="702">
        <f t="shared" si="10"/>
        <v>30831.663920549719</v>
      </c>
      <c r="N23" s="702">
        <f t="shared" si="11"/>
        <v>33385.648921400309</v>
      </c>
      <c r="O23" s="703">
        <f t="shared" si="12"/>
        <v>416376.73494684818</v>
      </c>
      <c r="P23" s="704"/>
    </row>
    <row r="24" spans="1:16" ht="13.5" thickBot="1" x14ac:dyDescent="0.25">
      <c r="A24" s="705" t="s">
        <v>293</v>
      </c>
      <c r="B24" s="710">
        <f>SUM(B4:B23)</f>
        <v>100</v>
      </c>
      <c r="C24" s="707">
        <f>SUM(C4:C23)</f>
        <v>723208.05000000016</v>
      </c>
      <c r="D24" s="707">
        <f t="shared" ref="D24:N24" si="13">SUM(D4:D23)</f>
        <v>937738.125</v>
      </c>
      <c r="E24" s="707">
        <f t="shared" si="13"/>
        <v>738493.65</v>
      </c>
      <c r="F24" s="707">
        <f t="shared" si="13"/>
        <v>653081.17500000005</v>
      </c>
      <c r="G24" s="707">
        <f t="shared" si="13"/>
        <v>708691.50000000012</v>
      </c>
      <c r="H24" s="707">
        <f t="shared" si="13"/>
        <v>630883.35</v>
      </c>
      <c r="I24" s="707">
        <f t="shared" si="13"/>
        <v>671054.84999999986</v>
      </c>
      <c r="J24" s="707">
        <f t="shared" si="13"/>
        <v>653926.27500000002</v>
      </c>
      <c r="K24" s="707">
        <f t="shared" si="13"/>
        <v>632880.22499999998</v>
      </c>
      <c r="L24" s="707">
        <f t="shared" si="13"/>
        <v>650700.22500000009</v>
      </c>
      <c r="M24" s="707">
        <f t="shared" si="13"/>
        <v>612909.67500000005</v>
      </c>
      <c r="N24" s="707">
        <f t="shared" si="13"/>
        <v>663680.92500000016</v>
      </c>
      <c r="O24" s="707">
        <f>SUM(C24:N24)</f>
        <v>8277248.0249999985</v>
      </c>
    </row>
    <row r="25" spans="1:16" x14ac:dyDescent="0.2">
      <c r="A25" s="708"/>
      <c r="B25" s="708"/>
      <c r="C25" s="708"/>
      <c r="D25" s="708"/>
      <c r="E25" s="708"/>
      <c r="F25" s="708"/>
      <c r="G25" s="708"/>
      <c r="H25" s="708"/>
      <c r="I25" s="708"/>
      <c r="J25" s="708"/>
      <c r="K25" s="708"/>
      <c r="L25" s="708"/>
      <c r="M25" s="708"/>
      <c r="N25" s="708"/>
      <c r="O25" s="708"/>
    </row>
    <row r="26" spans="1:16" x14ac:dyDescent="0.2">
      <c r="A26" s="709" t="s">
        <v>294</v>
      </c>
      <c r="O26" s="704"/>
    </row>
    <row r="29" spans="1:16" hidden="1" x14ac:dyDescent="0.2">
      <c r="A29" s="695" t="s">
        <v>405</v>
      </c>
      <c r="C29" s="704">
        <v>723208.05</v>
      </c>
      <c r="D29" s="704">
        <v>937738.125</v>
      </c>
      <c r="E29" s="704">
        <v>738493.65</v>
      </c>
      <c r="F29" s="704">
        <v>653081.17500000005</v>
      </c>
      <c r="G29" s="704">
        <v>708691.5</v>
      </c>
      <c r="H29" s="704">
        <v>630883.35</v>
      </c>
      <c r="I29" s="704">
        <v>671054.84999999986</v>
      </c>
      <c r="J29" s="704">
        <v>653926.27500000002</v>
      </c>
      <c r="K29" s="704">
        <v>632880.22499999998</v>
      </c>
      <c r="L29" s="704">
        <v>650700.22499999998</v>
      </c>
      <c r="M29" s="704">
        <v>612909.67500000005</v>
      </c>
      <c r="N29" s="704">
        <v>663680.92500000005</v>
      </c>
      <c r="O29" s="704">
        <f>SUM(C29:N29)</f>
        <v>8277248.0249999985</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2"/>
  <sheetViews>
    <sheetView workbookViewId="0">
      <selection activeCell="Q29" sqref="Q29"/>
    </sheetView>
  </sheetViews>
  <sheetFormatPr baseColWidth="10" defaultRowHeight="12.75" x14ac:dyDescent="0.2"/>
  <cols>
    <col min="1" max="1" width="16.570312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411</v>
      </c>
      <c r="B4" s="958"/>
      <c r="C4" s="958"/>
      <c r="D4" s="958"/>
      <c r="E4" s="958"/>
      <c r="F4" s="958"/>
      <c r="G4" s="958"/>
      <c r="H4" s="958"/>
      <c r="I4" s="958"/>
      <c r="J4" s="958"/>
      <c r="K4" s="958"/>
      <c r="L4" s="958"/>
      <c r="M4" s="958"/>
      <c r="N4" s="958"/>
      <c r="O4" s="958"/>
    </row>
    <row r="5" spans="1:15" ht="13.5" thickBot="1" x14ac:dyDescent="0.25"/>
    <row r="6" spans="1:15" ht="34.5" thickBot="1" x14ac:dyDescent="0.25">
      <c r="A6" s="696" t="s">
        <v>404</v>
      </c>
      <c r="B6" s="697" t="s">
        <v>412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3.2030259999999999</v>
      </c>
      <c r="C7" s="727">
        <f t="shared" ref="C7:C26" si="0">$C$32*B7/100</f>
        <v>71921.637981858948</v>
      </c>
      <c r="D7" s="728">
        <f t="shared" ref="D7:D26" si="1">$D$32*B7/100</f>
        <v>72714.40462331436</v>
      </c>
      <c r="E7" s="727">
        <f t="shared" ref="E7:E26" si="2">$E$32*B7/100</f>
        <v>34643.126341425232</v>
      </c>
      <c r="F7" s="728">
        <f t="shared" ref="F7:F26" si="3">$F$32*B7/100</f>
        <v>62668.386484099698</v>
      </c>
      <c r="G7" s="727">
        <f t="shared" ref="G7:G26" si="4">$G$32*B7/100</f>
        <v>43544.749119533568</v>
      </c>
      <c r="H7" s="727">
        <f t="shared" ref="H7:H26" si="5">$H$32*B7/100</f>
        <v>62200.112577045591</v>
      </c>
      <c r="I7" s="729">
        <f t="shared" ref="I7:I26" si="6">$I$32*B7/100</f>
        <v>41862.518405549519</v>
      </c>
      <c r="J7" s="728">
        <f t="shared" ref="J7:J26" si="7">$J$32*B7/100</f>
        <v>47840.912596100716</v>
      </c>
      <c r="K7" s="727">
        <f t="shared" ref="K7:K26" si="8">$K$32*B7/100</f>
        <v>51668.483252273618</v>
      </c>
      <c r="L7" s="728">
        <f t="shared" ref="L7:L26" si="9">$L$32*B7/100</f>
        <v>30189.389735093839</v>
      </c>
      <c r="M7" s="727">
        <f t="shared" ref="M7:M26" si="10">$M$32*B7/100</f>
        <v>44986.273443360027</v>
      </c>
      <c r="N7" s="727">
        <f t="shared" ref="N7:N26" si="11">$N$32*B7/100</f>
        <v>88831.860683975567</v>
      </c>
      <c r="O7" s="730">
        <f>SUM(C7:N7)</f>
        <v>653071.85524363071</v>
      </c>
    </row>
    <row r="8" spans="1:15" x14ac:dyDescent="0.2">
      <c r="A8" s="700" t="s">
        <v>149</v>
      </c>
      <c r="B8" s="731">
        <v>3.264907</v>
      </c>
      <c r="C8" s="727">
        <f t="shared" si="0"/>
        <v>73311.131192327855</v>
      </c>
      <c r="D8" s="728">
        <f t="shared" si="1"/>
        <v>74119.213723363922</v>
      </c>
      <c r="E8" s="727">
        <f t="shared" si="2"/>
        <v>35312.415726254992</v>
      </c>
      <c r="F8" s="728">
        <f t="shared" si="3"/>
        <v>63879.111100141701</v>
      </c>
      <c r="G8" s="727">
        <f t="shared" si="4"/>
        <v>44386.013792460319</v>
      </c>
      <c r="H8" s="727">
        <f t="shared" si="5"/>
        <v>63401.790354990626</v>
      </c>
      <c r="I8" s="727">
        <f t="shared" si="6"/>
        <v>42671.283149093222</v>
      </c>
      <c r="J8" s="728">
        <f t="shared" si="7"/>
        <v>48765.177186010173</v>
      </c>
      <c r="K8" s="727">
        <f t="shared" si="8"/>
        <v>52666.69475980867</v>
      </c>
      <c r="L8" s="728">
        <f t="shared" si="9"/>
        <v>30772.634962012806</v>
      </c>
      <c r="M8" s="727">
        <f t="shared" si="10"/>
        <v>45855.387708104856</v>
      </c>
      <c r="N8" s="727">
        <f t="shared" si="11"/>
        <v>90548.051676800824</v>
      </c>
      <c r="O8" s="730">
        <f t="shared" ref="O8:O26" si="12">SUM(C8:N8)</f>
        <v>665688.90533136984</v>
      </c>
    </row>
    <row r="9" spans="1:15" x14ac:dyDescent="0.2">
      <c r="A9" s="700" t="s">
        <v>150</v>
      </c>
      <c r="B9" s="731">
        <v>3.824595</v>
      </c>
      <c r="C9" s="727">
        <f t="shared" si="0"/>
        <v>85878.521441046003</v>
      </c>
      <c r="D9" s="728">
        <f t="shared" si="1"/>
        <v>86825.129846059644</v>
      </c>
      <c r="E9" s="727">
        <f t="shared" si="2"/>
        <v>41365.860842148402</v>
      </c>
      <c r="F9" s="728">
        <f t="shared" si="3"/>
        <v>74829.613498346647</v>
      </c>
      <c r="G9" s="727">
        <f t="shared" si="4"/>
        <v>51994.904118425045</v>
      </c>
      <c r="H9" s="727">
        <f t="shared" si="5"/>
        <v>74270.467851839378</v>
      </c>
      <c r="I9" s="727">
        <f t="shared" si="6"/>
        <v>49986.225082554018</v>
      </c>
      <c r="J9" s="728">
        <f t="shared" si="7"/>
        <v>57124.767363887717</v>
      </c>
      <c r="K9" s="727">
        <f t="shared" si="8"/>
        <v>61695.104162198317</v>
      </c>
      <c r="L9" s="728">
        <f t="shared" si="9"/>
        <v>36047.846328406704</v>
      </c>
      <c r="M9" s="727">
        <f t="shared" si="10"/>
        <v>53716.166050512089</v>
      </c>
      <c r="N9" s="727">
        <f t="shared" si="11"/>
        <v>106070.28797538001</v>
      </c>
      <c r="O9" s="730">
        <f t="shared" si="12"/>
        <v>779804.89456080401</v>
      </c>
    </row>
    <row r="10" spans="1:15" x14ac:dyDescent="0.2">
      <c r="A10" s="700" t="s">
        <v>288</v>
      </c>
      <c r="B10" s="731">
        <v>9.1514749999999996</v>
      </c>
      <c r="C10" s="727">
        <f t="shared" si="0"/>
        <v>205489.76872183758</v>
      </c>
      <c r="D10" s="728">
        <f t="shared" si="1"/>
        <v>207754.80937405623</v>
      </c>
      <c r="E10" s="727">
        <f t="shared" si="2"/>
        <v>98980.059679626225</v>
      </c>
      <c r="F10" s="728">
        <f t="shared" si="3"/>
        <v>179051.98777642648</v>
      </c>
      <c r="G10" s="727">
        <f t="shared" si="4"/>
        <v>124413.19019848215</v>
      </c>
      <c r="H10" s="727">
        <f t="shared" si="5"/>
        <v>177714.0664003409</v>
      </c>
      <c r="I10" s="727">
        <f t="shared" si="6"/>
        <v>119606.8313605404</v>
      </c>
      <c r="J10" s="728">
        <f t="shared" si="7"/>
        <v>136687.90562436922</v>
      </c>
      <c r="K10" s="727">
        <f t="shared" si="8"/>
        <v>147623.78849597246</v>
      </c>
      <c r="L10" s="728">
        <f t="shared" si="9"/>
        <v>86255.136681990058</v>
      </c>
      <c r="M10" s="727">
        <f t="shared" si="10"/>
        <v>128531.81858657196</v>
      </c>
      <c r="N10" s="727">
        <f t="shared" si="11"/>
        <v>253804.54365743059</v>
      </c>
      <c r="O10" s="730">
        <f t="shared" si="12"/>
        <v>1865913.9065576445</v>
      </c>
    </row>
    <row r="11" spans="1:15" x14ac:dyDescent="0.2">
      <c r="A11" s="700" t="s">
        <v>152</v>
      </c>
      <c r="B11" s="731">
        <v>4.9659690000000003</v>
      </c>
      <c r="C11" s="727">
        <f t="shared" si="0"/>
        <v>111507.25115785327</v>
      </c>
      <c r="D11" s="728">
        <f t="shared" si="1"/>
        <v>112736.35593742788</v>
      </c>
      <c r="E11" s="727">
        <f t="shared" si="2"/>
        <v>53710.675927888537</v>
      </c>
      <c r="F11" s="728">
        <f t="shared" si="3"/>
        <v>97161.017288045157</v>
      </c>
      <c r="G11" s="727">
        <f t="shared" si="4"/>
        <v>67511.744906342006</v>
      </c>
      <c r="H11" s="727">
        <f t="shared" si="5"/>
        <v>96435.005789562303</v>
      </c>
      <c r="I11" s="727">
        <f t="shared" si="6"/>
        <v>64903.615725844356</v>
      </c>
      <c r="J11" s="728">
        <f t="shared" si="7"/>
        <v>74172.513393255533</v>
      </c>
      <c r="K11" s="727">
        <f t="shared" si="8"/>
        <v>80106.775938693594</v>
      </c>
      <c r="L11" s="728">
        <f t="shared" si="9"/>
        <v>46805.606184087868</v>
      </c>
      <c r="M11" s="727">
        <f t="shared" si="10"/>
        <v>69746.683088195103</v>
      </c>
      <c r="N11" s="727">
        <f t="shared" si="11"/>
        <v>137724.84718167805</v>
      </c>
      <c r="O11" s="730">
        <f t="shared" si="12"/>
        <v>1012522.0925188735</v>
      </c>
    </row>
    <row r="12" spans="1:15" x14ac:dyDescent="0.2">
      <c r="A12" s="700" t="s">
        <v>289</v>
      </c>
      <c r="B12" s="731">
        <v>3.3901029999999999</v>
      </c>
      <c r="C12" s="727">
        <f t="shared" si="0"/>
        <v>76122.317048695186</v>
      </c>
      <c r="D12" s="728">
        <f t="shared" si="1"/>
        <v>76961.386281819723</v>
      </c>
      <c r="E12" s="727">
        <f t="shared" si="2"/>
        <v>36666.504280466252</v>
      </c>
      <c r="F12" s="728">
        <f t="shared" si="3"/>
        <v>66328.617071764587</v>
      </c>
      <c r="G12" s="727">
        <f t="shared" si="4"/>
        <v>46088.038194000961</v>
      </c>
      <c r="H12" s="727">
        <f t="shared" si="5"/>
        <v>65832.99300342238</v>
      </c>
      <c r="I12" s="727">
        <f t="shared" si="6"/>
        <v>44307.554554414681</v>
      </c>
      <c r="J12" s="728">
        <f t="shared" si="7"/>
        <v>50635.124820959565</v>
      </c>
      <c r="K12" s="727">
        <f t="shared" si="8"/>
        <v>54686.249839677403</v>
      </c>
      <c r="L12" s="728">
        <f t="shared" si="9"/>
        <v>31952.641255210176</v>
      </c>
      <c r="M12" s="727">
        <f t="shared" si="10"/>
        <v>47613.756666088615</v>
      </c>
      <c r="N12" s="727">
        <f t="shared" si="11"/>
        <v>94020.203832353407</v>
      </c>
      <c r="O12" s="730">
        <f t="shared" si="12"/>
        <v>691215.38684887299</v>
      </c>
    </row>
    <row r="13" spans="1:15" x14ac:dyDescent="0.2">
      <c r="A13" s="700" t="s">
        <v>154</v>
      </c>
      <c r="B13" s="731">
        <v>3.6809609999999999</v>
      </c>
      <c r="C13" s="727">
        <f t="shared" si="0"/>
        <v>82653.323596917879</v>
      </c>
      <c r="D13" s="728">
        <f t="shared" si="1"/>
        <v>83564.381792917033</v>
      </c>
      <c r="E13" s="727">
        <f t="shared" si="2"/>
        <v>39812.351501629695</v>
      </c>
      <c r="F13" s="728">
        <f t="shared" si="3"/>
        <v>72019.361248050467</v>
      </c>
      <c r="G13" s="727">
        <f t="shared" si="4"/>
        <v>50042.217348153725</v>
      </c>
      <c r="H13" s="727">
        <f t="shared" si="5"/>
        <v>71481.214511438346</v>
      </c>
      <c r="I13" s="727">
        <f t="shared" si="6"/>
        <v>48108.974954499266</v>
      </c>
      <c r="J13" s="728">
        <f t="shared" si="7"/>
        <v>54979.426789122379</v>
      </c>
      <c r="K13" s="727">
        <f t="shared" si="8"/>
        <v>59378.12299393522</v>
      </c>
      <c r="L13" s="728">
        <f t="shared" si="9"/>
        <v>34694.056878926604</v>
      </c>
      <c r="M13" s="727">
        <f t="shared" si="10"/>
        <v>51698.836687664727</v>
      </c>
      <c r="N13" s="727">
        <f t="shared" si="11"/>
        <v>102086.78129217416</v>
      </c>
      <c r="O13" s="730">
        <f t="shared" si="12"/>
        <v>750519.04959542945</v>
      </c>
    </row>
    <row r="14" spans="1:15" x14ac:dyDescent="0.2">
      <c r="A14" s="700" t="s">
        <v>155</v>
      </c>
      <c r="B14" s="731">
        <v>3.0013230000000002</v>
      </c>
      <c r="C14" s="727">
        <f t="shared" si="0"/>
        <v>67392.542637064718</v>
      </c>
      <c r="D14" s="728">
        <f t="shared" si="1"/>
        <v>68135.386670997919</v>
      </c>
      <c r="E14" s="727">
        <f t="shared" si="2"/>
        <v>32461.557252555991</v>
      </c>
      <c r="F14" s="728">
        <f t="shared" si="3"/>
        <v>58721.992805433852</v>
      </c>
      <c r="G14" s="727">
        <f t="shared" si="4"/>
        <v>40802.621352959941</v>
      </c>
      <c r="H14" s="727">
        <f t="shared" si="5"/>
        <v>58283.207342080968</v>
      </c>
      <c r="I14" s="727">
        <f t="shared" si="6"/>
        <v>39226.325146439369</v>
      </c>
      <c r="J14" s="728">
        <f t="shared" si="7"/>
        <v>44828.244077839765</v>
      </c>
      <c r="K14" s="727">
        <f t="shared" si="8"/>
        <v>48414.782508841214</v>
      </c>
      <c r="L14" s="728">
        <f t="shared" si="9"/>
        <v>28288.284193728385</v>
      </c>
      <c r="M14" s="727">
        <f t="shared" si="10"/>
        <v>42153.369085934886</v>
      </c>
      <c r="N14" s="727">
        <f t="shared" si="11"/>
        <v>83237.883989580994</v>
      </c>
      <c r="O14" s="730">
        <f t="shared" si="12"/>
        <v>611946.19706345804</v>
      </c>
    </row>
    <row r="15" spans="1:15" x14ac:dyDescent="0.2">
      <c r="A15" s="700" t="s">
        <v>156</v>
      </c>
      <c r="B15" s="731">
        <v>3.092673</v>
      </c>
      <c r="C15" s="727">
        <f t="shared" si="0"/>
        <v>69443.740981893265</v>
      </c>
      <c r="D15" s="728">
        <f t="shared" si="1"/>
        <v>70209.19464581291</v>
      </c>
      <c r="E15" s="727">
        <f t="shared" si="2"/>
        <v>33449.575954648695</v>
      </c>
      <c r="F15" s="728">
        <f t="shared" si="3"/>
        <v>60509.289288610227</v>
      </c>
      <c r="G15" s="727">
        <f t="shared" si="4"/>
        <v>42044.513498721288</v>
      </c>
      <c r="H15" s="727">
        <f t="shared" si="5"/>
        <v>60057.148697509576</v>
      </c>
      <c r="I15" s="727">
        <f t="shared" si="6"/>
        <v>40420.240230596333</v>
      </c>
      <c r="J15" s="728">
        <f t="shared" si="7"/>
        <v>46192.66240152924</v>
      </c>
      <c r="K15" s="727">
        <f t="shared" si="8"/>
        <v>49888.362787332611</v>
      </c>
      <c r="L15" s="728">
        <f t="shared" si="9"/>
        <v>29149.282747065394</v>
      </c>
      <c r="M15" s="727">
        <f t="shared" si="10"/>
        <v>43436.373369712455</v>
      </c>
      <c r="N15" s="727">
        <f t="shared" si="11"/>
        <v>85771.360294013473</v>
      </c>
      <c r="O15" s="730">
        <f t="shared" si="12"/>
        <v>630571.74489744555</v>
      </c>
    </row>
    <row r="16" spans="1:15" x14ac:dyDescent="0.2">
      <c r="A16" s="700" t="s">
        <v>157</v>
      </c>
      <c r="B16" s="731">
        <v>3.4332199999999999</v>
      </c>
      <c r="C16" s="727">
        <f t="shared" si="0"/>
        <v>77090.478176598554</v>
      </c>
      <c r="D16" s="728">
        <f t="shared" si="1"/>
        <v>77940.219105575583</v>
      </c>
      <c r="E16" s="727">
        <f t="shared" si="2"/>
        <v>37132.846944704143</v>
      </c>
      <c r="F16" s="728">
        <f t="shared" si="3"/>
        <v>67172.217098749985</v>
      </c>
      <c r="G16" s="727">
        <f t="shared" si="4"/>
        <v>46674.208567824622</v>
      </c>
      <c r="H16" s="727">
        <f t="shared" si="5"/>
        <v>66670.289439350308</v>
      </c>
      <c r="I16" s="727">
        <f t="shared" si="6"/>
        <v>44871.079860201171</v>
      </c>
      <c r="J16" s="728">
        <f t="shared" si="7"/>
        <v>51279.127282508758</v>
      </c>
      <c r="K16" s="727">
        <f t="shared" si="8"/>
        <v>55381.776504895941</v>
      </c>
      <c r="L16" s="728">
        <f t="shared" si="9"/>
        <v>32359.030687330938</v>
      </c>
      <c r="M16" s="727">
        <f t="shared" si="10"/>
        <v>48219.331879045792</v>
      </c>
      <c r="N16" s="727">
        <f t="shared" si="11"/>
        <v>95215.9991012994</v>
      </c>
      <c r="O16" s="730">
        <f t="shared" si="12"/>
        <v>700006.60464808531</v>
      </c>
    </row>
    <row r="17" spans="1:15" x14ac:dyDescent="0.2">
      <c r="A17" s="700" t="s">
        <v>158</v>
      </c>
      <c r="B17" s="731">
        <v>3.1007349999999998</v>
      </c>
      <c r="C17" s="727">
        <f t="shared" si="0"/>
        <v>69624.767375500349</v>
      </c>
      <c r="D17" s="728">
        <f t="shared" si="1"/>
        <v>70392.216428987042</v>
      </c>
      <c r="E17" s="727">
        <f t="shared" si="2"/>
        <v>33536.772525817512</v>
      </c>
      <c r="F17" s="728">
        <f t="shared" si="3"/>
        <v>60667.025295696898</v>
      </c>
      <c r="G17" s="727">
        <f t="shared" si="4"/>
        <v>42154.115408728161</v>
      </c>
      <c r="H17" s="727">
        <f t="shared" si="5"/>
        <v>60213.706061575984</v>
      </c>
      <c r="I17" s="727">
        <f t="shared" si="6"/>
        <v>40525.607974531449</v>
      </c>
      <c r="J17" s="728">
        <f t="shared" si="7"/>
        <v>46313.077732953265</v>
      </c>
      <c r="K17" s="727">
        <f t="shared" si="8"/>
        <v>50018.412094450257</v>
      </c>
      <c r="L17" s="728">
        <f t="shared" si="9"/>
        <v>29225.269286058308</v>
      </c>
      <c r="M17" s="727">
        <f t="shared" si="10"/>
        <v>43549.603589042657</v>
      </c>
      <c r="N17" s="727">
        <f t="shared" si="11"/>
        <v>85994.949631357027</v>
      </c>
      <c r="O17" s="730">
        <f t="shared" si="12"/>
        <v>632215.52340469882</v>
      </c>
    </row>
    <row r="18" spans="1:15" x14ac:dyDescent="0.2">
      <c r="A18" s="700" t="s">
        <v>159</v>
      </c>
      <c r="B18" s="731">
        <v>2.9619179999999998</v>
      </c>
      <c r="C18" s="727">
        <f t="shared" si="0"/>
        <v>66507.731791109924</v>
      </c>
      <c r="D18" s="728">
        <f t="shared" si="1"/>
        <v>67240.822869710712</v>
      </c>
      <c r="E18" s="727">
        <f t="shared" si="2"/>
        <v>32035.362649863451</v>
      </c>
      <c r="F18" s="728">
        <f t="shared" si="3"/>
        <v>57951.019429193388</v>
      </c>
      <c r="G18" s="727">
        <f t="shared" si="4"/>
        <v>40266.915167916413</v>
      </c>
      <c r="H18" s="727">
        <f t="shared" si="5"/>
        <v>57517.994872341886</v>
      </c>
      <c r="I18" s="727">
        <f t="shared" si="6"/>
        <v>38711.314485342431</v>
      </c>
      <c r="J18" s="728">
        <f t="shared" si="7"/>
        <v>44239.684646586524</v>
      </c>
      <c r="K18" s="727">
        <f t="shared" si="8"/>
        <v>47779.134661288343</v>
      </c>
      <c r="L18" s="728">
        <f t="shared" si="9"/>
        <v>27916.881369489249</v>
      </c>
      <c r="M18" s="727">
        <f t="shared" si="10"/>
        <v>41599.928650223272</v>
      </c>
      <c r="N18" s="727">
        <f t="shared" si="11"/>
        <v>82145.036329196053</v>
      </c>
      <c r="O18" s="730">
        <f t="shared" si="12"/>
        <v>603911.82692226162</v>
      </c>
    </row>
    <row r="19" spans="1:15" x14ac:dyDescent="0.2">
      <c r="A19" s="700" t="s">
        <v>160</v>
      </c>
      <c r="B19" s="731">
        <v>3.4479410000000001</v>
      </c>
      <c r="C19" s="727">
        <f t="shared" si="0"/>
        <v>77421.027611018057</v>
      </c>
      <c r="D19" s="728">
        <f t="shared" si="1"/>
        <v>78274.412068873367</v>
      </c>
      <c r="E19" s="727">
        <f t="shared" si="2"/>
        <v>37292.065590719547</v>
      </c>
      <c r="F19" s="728">
        <f t="shared" si="3"/>
        <v>67460.23889983198</v>
      </c>
      <c r="G19" s="727">
        <f t="shared" si="4"/>
        <v>46874.338773382959</v>
      </c>
      <c r="H19" s="727">
        <f t="shared" si="5"/>
        <v>66956.159069271118</v>
      </c>
      <c r="I19" s="727">
        <f t="shared" si="6"/>
        <v>45063.478589854974</v>
      </c>
      <c r="J19" s="728">
        <f t="shared" si="7"/>
        <v>51499.002511222854</v>
      </c>
      <c r="K19" s="727">
        <f t="shared" si="8"/>
        <v>55619.243119889616</v>
      </c>
      <c r="L19" s="728">
        <f t="shared" si="9"/>
        <v>32497.780109374446</v>
      </c>
      <c r="M19" s="727">
        <f t="shared" si="10"/>
        <v>48426.087282017768</v>
      </c>
      <c r="N19" s="727">
        <f t="shared" si="11"/>
        <v>95624.267351737843</v>
      </c>
      <c r="O19" s="730">
        <f t="shared" si="12"/>
        <v>703008.1009771945</v>
      </c>
    </row>
    <row r="20" spans="1:15" x14ac:dyDescent="0.2">
      <c r="A20" s="700" t="s">
        <v>290</v>
      </c>
      <c r="B20" s="731">
        <v>5.378603</v>
      </c>
      <c r="C20" s="727">
        <f t="shared" si="0"/>
        <v>120772.649929829</v>
      </c>
      <c r="D20" s="728">
        <f t="shared" si="1"/>
        <v>122103.88390546081</v>
      </c>
      <c r="E20" s="727">
        <f t="shared" si="2"/>
        <v>58173.621840524793</v>
      </c>
      <c r="F20" s="728">
        <f t="shared" si="3"/>
        <v>105234.35387303698</v>
      </c>
      <c r="G20" s="727">
        <f t="shared" si="4"/>
        <v>73121.453977760611</v>
      </c>
      <c r="H20" s="727">
        <f t="shared" si="5"/>
        <v>104448.01637802352</v>
      </c>
      <c r="I20" s="727">
        <f t="shared" si="6"/>
        <v>70296.609232533199</v>
      </c>
      <c r="J20" s="728">
        <f t="shared" si="7"/>
        <v>80335.681325136014</v>
      </c>
      <c r="K20" s="727">
        <f t="shared" si="8"/>
        <v>86763.0356500786</v>
      </c>
      <c r="L20" s="728">
        <f t="shared" si="9"/>
        <v>50694.793672403823</v>
      </c>
      <c r="M20" s="727">
        <f t="shared" si="10"/>
        <v>75542.098409840124</v>
      </c>
      <c r="N20" s="727">
        <f t="shared" si="11"/>
        <v>149168.72743787066</v>
      </c>
      <c r="O20" s="730">
        <f t="shared" si="12"/>
        <v>1096654.925632498</v>
      </c>
    </row>
    <row r="21" spans="1:15" x14ac:dyDescent="0.2">
      <c r="A21" s="700" t="s">
        <v>291</v>
      </c>
      <c r="B21" s="731">
        <v>2.9675240000000001</v>
      </c>
      <c r="C21" s="727">
        <f t="shared" si="0"/>
        <v>66633.610476617425</v>
      </c>
      <c r="D21" s="728">
        <f t="shared" si="1"/>
        <v>67368.089071208393</v>
      </c>
      <c r="E21" s="727">
        <f t="shared" si="2"/>
        <v>32095.995740656355</v>
      </c>
      <c r="F21" s="728">
        <f t="shared" si="3"/>
        <v>58060.702889343229</v>
      </c>
      <c r="G21" s="727">
        <f t="shared" si="4"/>
        <v>40343.12805646746</v>
      </c>
      <c r="H21" s="727">
        <f t="shared" si="5"/>
        <v>57626.858750158332</v>
      </c>
      <c r="I21" s="727">
        <f t="shared" si="6"/>
        <v>38784.583100140284</v>
      </c>
      <c r="J21" s="728">
        <f t="shared" si="7"/>
        <v>44323.416766155249</v>
      </c>
      <c r="K21" s="727">
        <f t="shared" si="8"/>
        <v>47869.565871372884</v>
      </c>
      <c r="L21" s="728">
        <f t="shared" si="9"/>
        <v>27969.719441629451</v>
      </c>
      <c r="M21" s="727">
        <f t="shared" si="10"/>
        <v>41678.664523401785</v>
      </c>
      <c r="N21" s="727">
        <f t="shared" si="11"/>
        <v>82300.511623806335</v>
      </c>
      <c r="O21" s="730">
        <f t="shared" si="12"/>
        <v>605054.8463109571</v>
      </c>
    </row>
    <row r="22" spans="1:15" x14ac:dyDescent="0.2">
      <c r="A22" s="700" t="s">
        <v>292</v>
      </c>
      <c r="B22" s="731">
        <v>6.17598</v>
      </c>
      <c r="C22" s="727">
        <f t="shared" si="0"/>
        <v>138677.17519096044</v>
      </c>
      <c r="D22" s="728">
        <f t="shared" si="1"/>
        <v>140205.76438202406</v>
      </c>
      <c r="E22" s="727">
        <f t="shared" si="2"/>
        <v>66797.851600990878</v>
      </c>
      <c r="F22" s="728">
        <f t="shared" si="3"/>
        <v>120835.32932860054</v>
      </c>
      <c r="G22" s="727">
        <f t="shared" si="4"/>
        <v>83961.697365946122</v>
      </c>
      <c r="H22" s="727">
        <f t="shared" si="5"/>
        <v>119932.41743076142</v>
      </c>
      <c r="I22" s="727">
        <f t="shared" si="6"/>
        <v>80718.069857161856</v>
      </c>
      <c r="J22" s="728">
        <f t="shared" si="7"/>
        <v>92245.43271745721</v>
      </c>
      <c r="K22" s="727">
        <f t="shared" si="8"/>
        <v>99625.641251858979</v>
      </c>
      <c r="L22" s="728">
        <f t="shared" si="9"/>
        <v>58210.288401076003</v>
      </c>
      <c r="M22" s="727">
        <f t="shared" si="10"/>
        <v>86741.201932398515</v>
      </c>
      <c r="N22" s="727">
        <f t="shared" si="11"/>
        <v>171282.96646577941</v>
      </c>
      <c r="O22" s="730">
        <f t="shared" si="12"/>
        <v>1259233.8359250154</v>
      </c>
    </row>
    <row r="23" spans="1:15" x14ac:dyDescent="0.2">
      <c r="A23" s="700" t="s">
        <v>164</v>
      </c>
      <c r="B23" s="731">
        <v>3.2856540000000001</v>
      </c>
      <c r="C23" s="727">
        <f t="shared" si="0"/>
        <v>73776.990109242557</v>
      </c>
      <c r="D23" s="728">
        <f t="shared" si="1"/>
        <v>74590.207637468862</v>
      </c>
      <c r="E23" s="727">
        <f t="shared" si="2"/>
        <v>35536.810077785558</v>
      </c>
      <c r="F23" s="728">
        <f t="shared" si="3"/>
        <v>64285.033816468582</v>
      </c>
      <c r="G23" s="727">
        <f t="shared" si="4"/>
        <v>44668.066735515713</v>
      </c>
      <c r="H23" s="727">
        <f t="shared" si="5"/>
        <v>63804.679914936743</v>
      </c>
      <c r="I23" s="727">
        <f t="shared" si="6"/>
        <v>42942.439758299617</v>
      </c>
      <c r="J23" s="728">
        <f t="shared" si="7"/>
        <v>49075.057721988123</v>
      </c>
      <c r="K23" s="727">
        <f t="shared" si="8"/>
        <v>53001.367666627069</v>
      </c>
      <c r="L23" s="728">
        <f t="shared" si="9"/>
        <v>30968.181070234841</v>
      </c>
      <c r="M23" s="727">
        <f t="shared" si="10"/>
        <v>46146.777854525586</v>
      </c>
      <c r="N23" s="727">
        <f t="shared" si="11"/>
        <v>91123.443388766464</v>
      </c>
      <c r="O23" s="730">
        <f t="shared" si="12"/>
        <v>669919.05575185968</v>
      </c>
    </row>
    <row r="24" spans="1:15" x14ac:dyDescent="0.2">
      <c r="A24" s="700" t="s">
        <v>165</v>
      </c>
      <c r="B24" s="731">
        <v>24.603714</v>
      </c>
      <c r="C24" s="727">
        <f t="shared" si="0"/>
        <v>552458.64732824359</v>
      </c>
      <c r="D24" s="728">
        <f t="shared" si="1"/>
        <v>558548.20255355549</v>
      </c>
      <c r="E24" s="727">
        <f t="shared" si="2"/>
        <v>266107.60342572705</v>
      </c>
      <c r="F24" s="728">
        <f t="shared" si="3"/>
        <v>481380.74992093554</v>
      </c>
      <c r="G24" s="727">
        <f t="shared" si="4"/>
        <v>334484.50107453263</v>
      </c>
      <c r="H24" s="727">
        <f t="shared" si="5"/>
        <v>477783.75218104152</v>
      </c>
      <c r="I24" s="727">
        <f t="shared" si="6"/>
        <v>321562.61927623325</v>
      </c>
      <c r="J24" s="728">
        <f t="shared" si="7"/>
        <v>367485.03790273936</v>
      </c>
      <c r="K24" s="727">
        <f t="shared" si="8"/>
        <v>396886.12729110842</v>
      </c>
      <c r="L24" s="728">
        <f t="shared" si="9"/>
        <v>231896.68484638733</v>
      </c>
      <c r="M24" s="727">
        <f t="shared" si="10"/>
        <v>345557.42155268969</v>
      </c>
      <c r="N24" s="727">
        <f t="shared" si="11"/>
        <v>682352.77963912231</v>
      </c>
      <c r="O24" s="730">
        <f t="shared" si="12"/>
        <v>5016504.1269923151</v>
      </c>
    </row>
    <row r="25" spans="1:15" x14ac:dyDescent="0.2">
      <c r="A25" s="700" t="s">
        <v>166</v>
      </c>
      <c r="B25" s="731">
        <v>3.022138</v>
      </c>
      <c r="C25" s="727">
        <f t="shared" si="0"/>
        <v>67859.928444920282</v>
      </c>
      <c r="D25" s="728">
        <f t="shared" si="1"/>
        <v>68607.92430641962</v>
      </c>
      <c r="E25" s="727">
        <f t="shared" si="2"/>
        <v>32686.687075041587</v>
      </c>
      <c r="F25" s="728">
        <f t="shared" si="3"/>
        <v>59129.245966871356</v>
      </c>
      <c r="G25" s="727">
        <f t="shared" si="4"/>
        <v>41085.598747749456</v>
      </c>
      <c r="H25" s="727">
        <f t="shared" si="5"/>
        <v>58687.417405718035</v>
      </c>
      <c r="I25" s="727">
        <f t="shared" si="6"/>
        <v>39498.370493748916</v>
      </c>
      <c r="J25" s="728">
        <f t="shared" si="7"/>
        <v>45139.140272777884</v>
      </c>
      <c r="K25" s="727">
        <f t="shared" si="8"/>
        <v>48750.552333655636</v>
      </c>
      <c r="L25" s="728">
        <f t="shared" si="9"/>
        <v>28484.471220413769</v>
      </c>
      <c r="M25" s="727">
        <f t="shared" si="10"/>
        <v>42445.714287542214</v>
      </c>
      <c r="N25" s="727">
        <f t="shared" si="11"/>
        <v>83815.161595237936</v>
      </c>
      <c r="O25" s="730">
        <f t="shared" si="12"/>
        <v>616190.21215009666</v>
      </c>
    </row>
    <row r="26" spans="1:15" ht="13.5" thickBot="1" x14ac:dyDescent="0.25">
      <c r="A26" s="700" t="s">
        <v>167</v>
      </c>
      <c r="B26" s="732">
        <v>4.0475409999999998</v>
      </c>
      <c r="C26" s="727">
        <f t="shared" si="0"/>
        <v>90884.613024911858</v>
      </c>
      <c r="D26" s="728">
        <f t="shared" si="1"/>
        <v>91886.401797379876</v>
      </c>
      <c r="E26" s="727">
        <f t="shared" si="2"/>
        <v>43777.18889422022</v>
      </c>
      <c r="F26" s="728">
        <f t="shared" si="3"/>
        <v>79191.634316499258</v>
      </c>
      <c r="G26" s="727">
        <f t="shared" si="4"/>
        <v>55025.82788776177</v>
      </c>
      <c r="H26" s="727">
        <f t="shared" si="5"/>
        <v>78599.894556025363</v>
      </c>
      <c r="I26" s="733">
        <f t="shared" si="6"/>
        <v>52900.057511152358</v>
      </c>
      <c r="J26" s="728">
        <f t="shared" si="7"/>
        <v>60454.724754071336</v>
      </c>
      <c r="K26" s="727">
        <f t="shared" si="8"/>
        <v>65291.478861361349</v>
      </c>
      <c r="L26" s="728">
        <f t="shared" si="9"/>
        <v>38149.172912668037</v>
      </c>
      <c r="M26" s="727">
        <f t="shared" si="10"/>
        <v>56847.426839248539</v>
      </c>
      <c r="N26" s="727">
        <f t="shared" si="11"/>
        <v>112253.41231219452</v>
      </c>
      <c r="O26" s="730">
        <f t="shared" si="12"/>
        <v>825261.83366749447</v>
      </c>
    </row>
    <row r="27" spans="1:15" ht="13.5" thickBot="1" x14ac:dyDescent="0.25">
      <c r="A27" s="705" t="s">
        <v>293</v>
      </c>
      <c r="B27" s="734">
        <f>SUM(B7:B26)</f>
        <v>99.999999999999972</v>
      </c>
      <c r="C27" s="735">
        <f>SUM(C7:C26)</f>
        <v>2245427.8542184466</v>
      </c>
      <c r="D27" s="735">
        <f t="shared" ref="D27:N27" si="13">SUM(D7:D26)</f>
        <v>2270178.4070224334</v>
      </c>
      <c r="E27" s="735">
        <f t="shared" si="13"/>
        <v>1081574.9338726951</v>
      </c>
      <c r="F27" s="735">
        <f t="shared" si="13"/>
        <v>1956536.9273961466</v>
      </c>
      <c r="G27" s="735">
        <f t="shared" si="13"/>
        <v>1359487.8442926649</v>
      </c>
      <c r="H27" s="735">
        <f t="shared" si="13"/>
        <v>1941917.1925874338</v>
      </c>
      <c r="I27" s="735">
        <f t="shared" si="13"/>
        <v>1306967.7987487311</v>
      </c>
      <c r="J27" s="735">
        <f t="shared" si="13"/>
        <v>1493616.1178866709</v>
      </c>
      <c r="K27" s="735">
        <f t="shared" si="13"/>
        <v>1613114.7000453202</v>
      </c>
      <c r="L27" s="735">
        <f t="shared" si="13"/>
        <v>942527.15198358824</v>
      </c>
      <c r="M27" s="735">
        <f t="shared" si="13"/>
        <v>1404492.9214861207</v>
      </c>
      <c r="N27" s="735">
        <f t="shared" si="13"/>
        <v>2773373.075459755</v>
      </c>
      <c r="O27" s="735">
        <f>SUM(C27:N27)</f>
        <v>20389214.925000008</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c r="O29" s="704"/>
    </row>
    <row r="32" spans="1:15" x14ac:dyDescent="0.2">
      <c r="C32" s="704">
        <f>' FOCO ESTIMACION'!C32</f>
        <v>2245427.8542184466</v>
      </c>
      <c r="D32" s="704">
        <f>' FOCO ESTIMACION'!D32</f>
        <v>2270178.4070224334</v>
      </c>
      <c r="E32" s="704">
        <f>' FOCO ESTIMACION'!E32</f>
        <v>1081574.9338726951</v>
      </c>
      <c r="F32" s="704">
        <f>' FOCO ESTIMACION'!F32</f>
        <v>1956536.9273961466</v>
      </c>
      <c r="G32" s="704">
        <f>' FOCO ESTIMACION'!G32</f>
        <v>1359487.8442926649</v>
      </c>
      <c r="H32" s="704">
        <f>' FOCO ESTIMACION'!H32</f>
        <v>1941917.1925874343</v>
      </c>
      <c r="I32" s="704">
        <f>' FOCO ESTIMACION'!I32</f>
        <v>1306967.7987487307</v>
      </c>
      <c r="J32" s="704">
        <f>' FOCO ESTIMACION'!J32</f>
        <v>1493616.1178866709</v>
      </c>
      <c r="K32" s="704">
        <f>' FOCO ESTIMACION'!K32</f>
        <v>1613114.7000453202</v>
      </c>
      <c r="L32" s="704">
        <f>' FOCO ESTIMACION'!L32</f>
        <v>942527.151983588</v>
      </c>
      <c r="M32" s="704">
        <f>' FOCO ESTIMACION'!M32</f>
        <v>1404492.9214861207</v>
      </c>
      <c r="N32" s="704">
        <f>' FOCO ESTIMACION'!N32</f>
        <v>2773373.075459755</v>
      </c>
      <c r="O32" s="704">
        <f>SUM(C32:N32)</f>
        <v>20389214.925000008</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rgb="FFFFFF00"/>
  </sheetPr>
  <dimension ref="A1:O32"/>
  <sheetViews>
    <sheetView topLeftCell="B1" workbookViewId="0">
      <selection activeCell="U29" sqref="U29"/>
    </sheetView>
  </sheetViews>
  <sheetFormatPr baseColWidth="10" defaultRowHeight="12.75" x14ac:dyDescent="0.2"/>
  <cols>
    <col min="1" max="1" width="16.5703125" style="695" customWidth="1"/>
    <col min="2" max="2" width="9.28515625" style="695" bestFit="1" customWidth="1"/>
    <col min="3" max="3" width="12.7109375" style="695" bestFit="1" customWidth="1"/>
    <col min="4" max="14" width="11.85546875" style="695" bestFit="1" customWidth="1"/>
    <col min="15" max="15" width="13.710937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411</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3.8100000000000002E-2</v>
      </c>
      <c r="C7" s="727">
        <v>221149.74295927721</v>
      </c>
      <c r="D7" s="728">
        <v>222516.2298324453</v>
      </c>
      <c r="E7" s="727">
        <v>252825.77036195033</v>
      </c>
      <c r="F7" s="728">
        <v>242573.30921120683</v>
      </c>
      <c r="G7" s="727">
        <v>258898.84233744943</v>
      </c>
      <c r="H7" s="727">
        <v>248735.24449241886</v>
      </c>
      <c r="I7" s="729">
        <v>257861.19628767337</v>
      </c>
      <c r="J7" s="728">
        <v>255959.02638851784</v>
      </c>
      <c r="K7" s="727">
        <v>244192.50881827332</v>
      </c>
      <c r="L7" s="728">
        <v>257063.79269192531</v>
      </c>
      <c r="M7" s="727">
        <v>247583.00890387889</v>
      </c>
      <c r="N7" s="727">
        <v>182239.87521498336</v>
      </c>
      <c r="O7" s="730">
        <f>SUM(C7:N7)</f>
        <v>2891598.5474999999</v>
      </c>
    </row>
    <row r="8" spans="1:15" x14ac:dyDescent="0.2">
      <c r="A8" s="700" t="s">
        <v>149</v>
      </c>
      <c r="B8" s="712">
        <v>1.6299999999999999E-2</v>
      </c>
      <c r="C8" s="727">
        <v>94612.619691239321</v>
      </c>
      <c r="D8" s="728">
        <v>95197.232185534333</v>
      </c>
      <c r="E8" s="727">
        <v>108164.30595537506</v>
      </c>
      <c r="F8" s="728">
        <v>103778.08241844281</v>
      </c>
      <c r="G8" s="727">
        <v>110762.49685302953</v>
      </c>
      <c r="H8" s="727">
        <v>106414.29095082486</v>
      </c>
      <c r="I8" s="727">
        <v>110318.56954039568</v>
      </c>
      <c r="J8" s="728">
        <v>109504.78031844726</v>
      </c>
      <c r="K8" s="727">
        <v>104470.81085926128</v>
      </c>
      <c r="L8" s="728">
        <v>109977.42312016751</v>
      </c>
      <c r="M8" s="727">
        <v>105921.33976727625</v>
      </c>
      <c r="N8" s="727">
        <v>77966.140840005988</v>
      </c>
      <c r="O8" s="730">
        <f t="shared" ref="O8:O26" si="0">SUM(C8:N8)</f>
        <v>1237088.0925</v>
      </c>
    </row>
    <row r="9" spans="1:15" x14ac:dyDescent="0.2">
      <c r="A9" s="700" t="s">
        <v>150</v>
      </c>
      <c r="B9" s="712">
        <v>1.32E-2</v>
      </c>
      <c r="C9" s="727">
        <v>76618.808584316517</v>
      </c>
      <c r="D9" s="728">
        <v>77092.237107303881</v>
      </c>
      <c r="E9" s="727">
        <v>87593.180282880421</v>
      </c>
      <c r="F9" s="728">
        <v>84041.146498370872</v>
      </c>
      <c r="G9" s="727">
        <v>89697.23671533681</v>
      </c>
      <c r="H9" s="727">
        <v>86175.990217845901</v>
      </c>
      <c r="I9" s="727">
        <v>89337.73729651676</v>
      </c>
      <c r="J9" s="728">
        <v>88678.717803895939</v>
      </c>
      <c r="K9" s="727">
        <v>84602.129039401771</v>
      </c>
      <c r="L9" s="728">
        <v>89061.47148381664</v>
      </c>
      <c r="M9" s="727">
        <v>85776.790486383237</v>
      </c>
      <c r="N9" s="727">
        <v>63138.224483931241</v>
      </c>
      <c r="O9" s="730">
        <f t="shared" si="0"/>
        <v>1001813.6699999999</v>
      </c>
    </row>
    <row r="10" spans="1:15" x14ac:dyDescent="0.2">
      <c r="A10" s="700" t="s">
        <v>288</v>
      </c>
      <c r="B10" s="712">
        <v>7.6399999999999996E-2</v>
      </c>
      <c r="C10" s="727">
        <v>443460.37695771072</v>
      </c>
      <c r="D10" s="728">
        <v>446200.52386348607</v>
      </c>
      <c r="E10" s="727">
        <v>506978.71012212604</v>
      </c>
      <c r="F10" s="728">
        <v>486419.96912693436</v>
      </c>
      <c r="G10" s="727">
        <v>519156.73371604027</v>
      </c>
      <c r="H10" s="727">
        <v>498776.18580632017</v>
      </c>
      <c r="I10" s="727">
        <v>517075.99465559697</v>
      </c>
      <c r="J10" s="728">
        <v>513261.66971345828</v>
      </c>
      <c r="K10" s="727">
        <v>489666.86807653756</v>
      </c>
      <c r="L10" s="728">
        <v>515477.00161845388</v>
      </c>
      <c r="M10" s="727">
        <v>496465.66614846047</v>
      </c>
      <c r="N10" s="727">
        <v>365436.39019487472</v>
      </c>
      <c r="O10" s="730">
        <f t="shared" si="0"/>
        <v>5798376.0899999999</v>
      </c>
    </row>
    <row r="11" spans="1:15" x14ac:dyDescent="0.2">
      <c r="A11" s="700" t="s">
        <v>152</v>
      </c>
      <c r="B11" s="712">
        <v>6.2E-2</v>
      </c>
      <c r="C11" s="727">
        <v>359876.22213845636</v>
      </c>
      <c r="D11" s="728">
        <v>362099.90156460914</v>
      </c>
      <c r="E11" s="727">
        <v>411422.51344989287</v>
      </c>
      <c r="F11" s="728">
        <v>394738.71840143891</v>
      </c>
      <c r="G11" s="727">
        <v>421305.20275385468</v>
      </c>
      <c r="H11" s="727">
        <v>404766.0146595792</v>
      </c>
      <c r="I11" s="727">
        <v>419616.64487757871</v>
      </c>
      <c r="J11" s="728">
        <v>416521.25029102637</v>
      </c>
      <c r="K11" s="727">
        <v>397373.63639719016</v>
      </c>
      <c r="L11" s="728">
        <v>418319.03272701753</v>
      </c>
      <c r="M11" s="727">
        <v>402890.98561786063</v>
      </c>
      <c r="N11" s="727">
        <v>296558.32712149521</v>
      </c>
      <c r="O11" s="730">
        <f t="shared" si="0"/>
        <v>4705488.4499999993</v>
      </c>
    </row>
    <row r="12" spans="1:15" x14ac:dyDescent="0.2">
      <c r="A12" s="700" t="s">
        <v>289</v>
      </c>
      <c r="B12" s="712">
        <v>7.2300000000000003E-2</v>
      </c>
      <c r="C12" s="727">
        <v>419662.11065500637</v>
      </c>
      <c r="D12" s="728">
        <v>422255.20779227809</v>
      </c>
      <c r="E12" s="727">
        <v>479771.73745850415</v>
      </c>
      <c r="F12" s="728">
        <v>460316.27968425862</v>
      </c>
      <c r="G12" s="727">
        <v>491296.22837264027</v>
      </c>
      <c r="H12" s="727">
        <v>472009.40096592868</v>
      </c>
      <c r="I12" s="727">
        <v>489327.15201046679</v>
      </c>
      <c r="J12" s="728">
        <v>485717.52251679369</v>
      </c>
      <c r="K12" s="727">
        <v>463388.93405672337</v>
      </c>
      <c r="L12" s="728">
        <v>487813.9688090866</v>
      </c>
      <c r="M12" s="727">
        <v>469822.87516405364</v>
      </c>
      <c r="N12" s="727">
        <v>345825.27501425974</v>
      </c>
      <c r="O12" s="730">
        <f t="shared" si="0"/>
        <v>5487206.6924999999</v>
      </c>
    </row>
    <row r="13" spans="1:15" x14ac:dyDescent="0.2">
      <c r="A13" s="700" t="s">
        <v>154</v>
      </c>
      <c r="B13" s="712">
        <v>0.02</v>
      </c>
      <c r="C13" s="727">
        <v>116089.10391563109</v>
      </c>
      <c r="D13" s="728">
        <v>116806.41985955134</v>
      </c>
      <c r="E13" s="727">
        <v>132716.93982254609</v>
      </c>
      <c r="F13" s="728">
        <v>127335.07045207708</v>
      </c>
      <c r="G13" s="727">
        <v>135904.90411414669</v>
      </c>
      <c r="H13" s="727">
        <v>130569.68214825136</v>
      </c>
      <c r="I13" s="727">
        <v>135360.20802502538</v>
      </c>
      <c r="J13" s="728">
        <v>134361.69364226659</v>
      </c>
      <c r="K13" s="727">
        <v>128185.0439990936</v>
      </c>
      <c r="L13" s="728">
        <v>134941.62346032824</v>
      </c>
      <c r="M13" s="727">
        <v>129964.83407027763</v>
      </c>
      <c r="N13" s="727">
        <v>95663.976490804911</v>
      </c>
      <c r="O13" s="730">
        <f t="shared" si="0"/>
        <v>1517899.5</v>
      </c>
    </row>
    <row r="14" spans="1:15" x14ac:dyDescent="0.2">
      <c r="A14" s="700" t="s">
        <v>155</v>
      </c>
      <c r="B14" s="712">
        <v>2.6700000000000002E-2</v>
      </c>
      <c r="C14" s="727">
        <v>154978.95372736751</v>
      </c>
      <c r="D14" s="728">
        <v>155936.57051250106</v>
      </c>
      <c r="E14" s="727">
        <v>177177.11466309906</v>
      </c>
      <c r="F14" s="728">
        <v>169992.31905352289</v>
      </c>
      <c r="G14" s="727">
        <v>181433.04699238582</v>
      </c>
      <c r="H14" s="727">
        <v>174310.52566791559</v>
      </c>
      <c r="I14" s="727">
        <v>180705.8777134089</v>
      </c>
      <c r="J14" s="728">
        <v>179372.86101242588</v>
      </c>
      <c r="K14" s="727">
        <v>171127.03373878996</v>
      </c>
      <c r="L14" s="728">
        <v>180147.06731953821</v>
      </c>
      <c r="M14" s="727">
        <v>173503.05348382064</v>
      </c>
      <c r="N14" s="727">
        <v>127711.40861522456</v>
      </c>
      <c r="O14" s="730">
        <f t="shared" si="0"/>
        <v>2026395.8325</v>
      </c>
    </row>
    <row r="15" spans="1:15" x14ac:dyDescent="0.2">
      <c r="A15" s="700" t="s">
        <v>156</v>
      </c>
      <c r="B15" s="712">
        <v>2.3E-2</v>
      </c>
      <c r="C15" s="727">
        <v>133502.46950297573</v>
      </c>
      <c r="D15" s="728">
        <v>134327.38283848405</v>
      </c>
      <c r="E15" s="727">
        <v>152624.48079592802</v>
      </c>
      <c r="F15" s="728">
        <v>146435.33101988863</v>
      </c>
      <c r="G15" s="727">
        <v>156290.63973126869</v>
      </c>
      <c r="H15" s="727">
        <v>150155.13447048908</v>
      </c>
      <c r="I15" s="727">
        <v>155664.23922877919</v>
      </c>
      <c r="J15" s="728">
        <v>154515.94768860657</v>
      </c>
      <c r="K15" s="727">
        <v>147412.80059895763</v>
      </c>
      <c r="L15" s="728">
        <v>155182.86697937749</v>
      </c>
      <c r="M15" s="727">
        <v>149459.55918081925</v>
      </c>
      <c r="N15" s="727">
        <v>110013.57296442564</v>
      </c>
      <c r="O15" s="730">
        <f t="shared" si="0"/>
        <v>1745584.425</v>
      </c>
    </row>
    <row r="16" spans="1:15" x14ac:dyDescent="0.2">
      <c r="A16" s="700" t="s">
        <v>157</v>
      </c>
      <c r="B16" s="712">
        <v>2.3099999999999999E-2</v>
      </c>
      <c r="C16" s="727">
        <v>134082.91502255391</v>
      </c>
      <c r="D16" s="728">
        <v>134911.41493778178</v>
      </c>
      <c r="E16" s="727">
        <v>153288.06549504073</v>
      </c>
      <c r="F16" s="728">
        <v>147072.00637214902</v>
      </c>
      <c r="G16" s="727">
        <v>156970.16425183942</v>
      </c>
      <c r="H16" s="727">
        <v>150807.98288123033</v>
      </c>
      <c r="I16" s="727">
        <v>156341.04026890433</v>
      </c>
      <c r="J16" s="728">
        <v>155187.75615681789</v>
      </c>
      <c r="K16" s="727">
        <v>148053.7258189531</v>
      </c>
      <c r="L16" s="728">
        <v>155857.57509667912</v>
      </c>
      <c r="M16" s="727">
        <v>150109.38335117066</v>
      </c>
      <c r="N16" s="727">
        <v>110491.89284687967</v>
      </c>
      <c r="O16" s="730">
        <f t="shared" si="0"/>
        <v>1753173.9224999999</v>
      </c>
    </row>
    <row r="17" spans="1:15" x14ac:dyDescent="0.2">
      <c r="A17" s="700" t="s">
        <v>158</v>
      </c>
      <c r="B17" s="712">
        <v>5.0500000000000003E-2</v>
      </c>
      <c r="C17" s="727">
        <v>293124.98738696851</v>
      </c>
      <c r="D17" s="728">
        <v>294936.21014536713</v>
      </c>
      <c r="E17" s="727">
        <v>335110.2730519289</v>
      </c>
      <c r="F17" s="728">
        <v>321521.05289149465</v>
      </c>
      <c r="G17" s="727">
        <v>343159.88288822037</v>
      </c>
      <c r="H17" s="727">
        <v>329688.44742433471</v>
      </c>
      <c r="I17" s="727">
        <v>341784.52526318911</v>
      </c>
      <c r="J17" s="728">
        <v>339263.27644672315</v>
      </c>
      <c r="K17" s="727">
        <v>323667.23609771137</v>
      </c>
      <c r="L17" s="728">
        <v>340727.59923732886</v>
      </c>
      <c r="M17" s="727">
        <v>328161.20602745103</v>
      </c>
      <c r="N17" s="727">
        <v>241551.54063928241</v>
      </c>
      <c r="O17" s="730">
        <f t="shared" si="0"/>
        <v>3832696.2374999993</v>
      </c>
    </row>
    <row r="18" spans="1:15" x14ac:dyDescent="0.2">
      <c r="A18" s="700" t="s">
        <v>159</v>
      </c>
      <c r="B18" s="712">
        <v>2.58E-2</v>
      </c>
      <c r="C18" s="727">
        <v>149754.94405116409</v>
      </c>
      <c r="D18" s="728">
        <v>150680.28161882123</v>
      </c>
      <c r="E18" s="727">
        <v>171204.85237108447</v>
      </c>
      <c r="F18" s="728">
        <v>164262.24088317942</v>
      </c>
      <c r="G18" s="727">
        <v>175317.32630724923</v>
      </c>
      <c r="H18" s="727">
        <v>168434.88997124427</v>
      </c>
      <c r="I18" s="727">
        <v>174614.66835228275</v>
      </c>
      <c r="J18" s="728">
        <v>173326.58479852389</v>
      </c>
      <c r="K18" s="727">
        <v>165358.70675883075</v>
      </c>
      <c r="L18" s="728">
        <v>174074.69426382345</v>
      </c>
      <c r="M18" s="727">
        <v>167654.63595065812</v>
      </c>
      <c r="N18" s="727">
        <v>123406.52967313833</v>
      </c>
      <c r="O18" s="730">
        <f t="shared" si="0"/>
        <v>1958090.3549999997</v>
      </c>
    </row>
    <row r="19" spans="1:15" x14ac:dyDescent="0.2">
      <c r="A19" s="700" t="s">
        <v>160</v>
      </c>
      <c r="B19" s="712">
        <v>3.39E-2</v>
      </c>
      <c r="C19" s="727">
        <v>196771.03113699469</v>
      </c>
      <c r="D19" s="728">
        <v>197986.88166193952</v>
      </c>
      <c r="E19" s="727">
        <v>224955.21299921564</v>
      </c>
      <c r="F19" s="728">
        <v>215832.94441627062</v>
      </c>
      <c r="G19" s="727">
        <v>230358.81247347861</v>
      </c>
      <c r="H19" s="727">
        <v>221315.61124128607</v>
      </c>
      <c r="I19" s="727">
        <v>229435.55260241803</v>
      </c>
      <c r="J19" s="728">
        <v>227743.07072364184</v>
      </c>
      <c r="K19" s="727">
        <v>217273.64957846366</v>
      </c>
      <c r="L19" s="728">
        <v>228726.05176525636</v>
      </c>
      <c r="M19" s="727">
        <v>220290.39374912056</v>
      </c>
      <c r="N19" s="727">
        <v>162150.44015191431</v>
      </c>
      <c r="O19" s="730">
        <f t="shared" si="0"/>
        <v>2572839.6525000003</v>
      </c>
    </row>
    <row r="20" spans="1:15" x14ac:dyDescent="0.2">
      <c r="A20" s="700" t="s">
        <v>290</v>
      </c>
      <c r="B20" s="712">
        <v>8.2000000000000007E-3</v>
      </c>
      <c r="C20" s="727">
        <v>47596.532605408749</v>
      </c>
      <c r="D20" s="728">
        <v>47890.632142416056</v>
      </c>
      <c r="E20" s="727">
        <v>54413.945327243906</v>
      </c>
      <c r="F20" s="728">
        <v>52207.378885351602</v>
      </c>
      <c r="G20" s="727">
        <v>55721.010686800146</v>
      </c>
      <c r="H20" s="727">
        <v>53533.569680783061</v>
      </c>
      <c r="I20" s="727">
        <v>55497.685290260415</v>
      </c>
      <c r="J20" s="728">
        <v>55088.294393329299</v>
      </c>
      <c r="K20" s="727">
        <v>52555.868039628382</v>
      </c>
      <c r="L20" s="728">
        <v>55326.065618734581</v>
      </c>
      <c r="M20" s="727">
        <v>53285.581968813829</v>
      </c>
      <c r="N20" s="727">
        <v>39222.230361230017</v>
      </c>
      <c r="O20" s="730">
        <f t="shared" si="0"/>
        <v>622338.79499999993</v>
      </c>
    </row>
    <row r="21" spans="1:15" x14ac:dyDescent="0.2">
      <c r="A21" s="700" t="s">
        <v>291</v>
      </c>
      <c r="B21" s="712">
        <v>2.2700000000000001E-2</v>
      </c>
      <c r="C21" s="727">
        <v>131761.13294424128</v>
      </c>
      <c r="D21" s="728">
        <v>132575.28654059078</v>
      </c>
      <c r="E21" s="727">
        <v>150633.72669858983</v>
      </c>
      <c r="F21" s="728">
        <v>144525.30496310748</v>
      </c>
      <c r="G21" s="727">
        <v>154252.06616955649</v>
      </c>
      <c r="H21" s="727">
        <v>148196.5892382653</v>
      </c>
      <c r="I21" s="727">
        <v>153633.83610840383</v>
      </c>
      <c r="J21" s="728">
        <v>152500.52228397259</v>
      </c>
      <c r="K21" s="727">
        <v>145490.02493897124</v>
      </c>
      <c r="L21" s="728">
        <v>153158.74262747256</v>
      </c>
      <c r="M21" s="727">
        <v>147510.08666976512</v>
      </c>
      <c r="N21" s="727">
        <v>108578.61331706357</v>
      </c>
      <c r="O21" s="730">
        <f t="shared" si="0"/>
        <v>1722815.9325000003</v>
      </c>
    </row>
    <row r="22" spans="1:15" x14ac:dyDescent="0.2">
      <c r="A22" s="700" t="s">
        <v>292</v>
      </c>
      <c r="B22" s="712">
        <v>8.5900000000000004E-2</v>
      </c>
      <c r="C22" s="727">
        <v>498602.70131763554</v>
      </c>
      <c r="D22" s="728">
        <v>501683.57329677301</v>
      </c>
      <c r="E22" s="727">
        <v>570019.25653783546</v>
      </c>
      <c r="F22" s="728">
        <v>546904.12759167107</v>
      </c>
      <c r="G22" s="727">
        <v>583711.56317026005</v>
      </c>
      <c r="H22" s="727">
        <v>560796.78482673969</v>
      </c>
      <c r="I22" s="727">
        <v>581372.09346748411</v>
      </c>
      <c r="J22" s="728">
        <v>577083.47419353493</v>
      </c>
      <c r="K22" s="727">
        <v>550554.763976107</v>
      </c>
      <c r="L22" s="728">
        <v>579574.27276210987</v>
      </c>
      <c r="M22" s="727">
        <v>558198.9623318424</v>
      </c>
      <c r="N22" s="727">
        <v>410876.77902800712</v>
      </c>
      <c r="O22" s="730">
        <f t="shared" si="0"/>
        <v>6519378.3525</v>
      </c>
    </row>
    <row r="23" spans="1:15" x14ac:dyDescent="0.2">
      <c r="A23" s="700" t="s">
        <v>164</v>
      </c>
      <c r="B23" s="712">
        <v>4.5499999999999999E-2</v>
      </c>
      <c r="C23" s="727">
        <v>264102.71140806068</v>
      </c>
      <c r="D23" s="728">
        <v>265734.6051804793</v>
      </c>
      <c r="E23" s="727">
        <v>301931.03809629235</v>
      </c>
      <c r="F23" s="728">
        <v>289687.28527847532</v>
      </c>
      <c r="G23" s="727">
        <v>309183.65685968369</v>
      </c>
      <c r="H23" s="727">
        <v>297046.02688727184</v>
      </c>
      <c r="I23" s="727">
        <v>307944.47325693275</v>
      </c>
      <c r="J23" s="728">
        <v>305672.85303615645</v>
      </c>
      <c r="K23" s="727">
        <v>291620.97509793792</v>
      </c>
      <c r="L23" s="728">
        <v>306992.19337224675</v>
      </c>
      <c r="M23" s="727">
        <v>295669.99750988156</v>
      </c>
      <c r="N23" s="727">
        <v>217635.54651658115</v>
      </c>
      <c r="O23" s="730">
        <f t="shared" si="0"/>
        <v>3453221.3624999993</v>
      </c>
    </row>
    <row r="24" spans="1:15" x14ac:dyDescent="0.2">
      <c r="A24" s="700" t="s">
        <v>165</v>
      </c>
      <c r="B24" s="712">
        <v>0.29020000000000001</v>
      </c>
      <c r="C24" s="727">
        <v>1684452.897815807</v>
      </c>
      <c r="D24" s="728">
        <v>1694861.1521620899</v>
      </c>
      <c r="E24" s="727">
        <v>1925722.796825144</v>
      </c>
      <c r="F24" s="728">
        <v>1847631.8722596385</v>
      </c>
      <c r="G24" s="727">
        <v>1971980.1586962685</v>
      </c>
      <c r="H24" s="727">
        <v>1894566.0879711274</v>
      </c>
      <c r="I24" s="727">
        <v>1964076.6184431184</v>
      </c>
      <c r="J24" s="728">
        <v>1949588.1747492882</v>
      </c>
      <c r="K24" s="727">
        <v>1859964.9884268483</v>
      </c>
      <c r="L24" s="728">
        <v>1958002.9564093628</v>
      </c>
      <c r="M24" s="727">
        <v>1885789.7423597283</v>
      </c>
      <c r="N24" s="727">
        <v>1388084.2988815792</v>
      </c>
      <c r="O24" s="730">
        <f t="shared" si="0"/>
        <v>22024721.744999997</v>
      </c>
    </row>
    <row r="25" spans="1:15" x14ac:dyDescent="0.2">
      <c r="A25" s="700" t="s">
        <v>166</v>
      </c>
      <c r="B25" s="712">
        <v>2.7300000000000001E-2</v>
      </c>
      <c r="C25" s="727">
        <v>158461.62684483643</v>
      </c>
      <c r="D25" s="728">
        <v>159440.76310828759</v>
      </c>
      <c r="E25" s="727">
        <v>181158.62285777542</v>
      </c>
      <c r="F25" s="728">
        <v>173812.37116708522</v>
      </c>
      <c r="G25" s="727">
        <v>185510.19411581021</v>
      </c>
      <c r="H25" s="727">
        <v>178227.61613236312</v>
      </c>
      <c r="I25" s="727">
        <v>184766.68395415967</v>
      </c>
      <c r="J25" s="728">
        <v>183403.7118216939</v>
      </c>
      <c r="K25" s="727">
        <v>174972.58505876278</v>
      </c>
      <c r="L25" s="728">
        <v>184195.31602334807</v>
      </c>
      <c r="M25" s="727">
        <v>177401.99850592896</v>
      </c>
      <c r="N25" s="727">
        <v>130581.3279099487</v>
      </c>
      <c r="O25" s="730">
        <f t="shared" si="0"/>
        <v>2071932.8175000001</v>
      </c>
    </row>
    <row r="26" spans="1:15" ht="13.5" thickBot="1" x14ac:dyDescent="0.25">
      <c r="A26" s="700" t="s">
        <v>167</v>
      </c>
      <c r="B26" s="713">
        <v>3.8899999999999997E-2</v>
      </c>
      <c r="C26" s="727">
        <v>225793.30711590243</v>
      </c>
      <c r="D26" s="728">
        <v>227188.48662682733</v>
      </c>
      <c r="E26" s="727">
        <v>258134.44795485213</v>
      </c>
      <c r="F26" s="728">
        <v>247666.71202928989</v>
      </c>
      <c r="G26" s="727">
        <v>264335.03850201529</v>
      </c>
      <c r="H26" s="727">
        <v>253958.0317783489</v>
      </c>
      <c r="I26" s="733">
        <v>263275.60460867436</v>
      </c>
      <c r="J26" s="728">
        <v>261333.49413420848</v>
      </c>
      <c r="K26" s="727">
        <v>249319.91057823703</v>
      </c>
      <c r="L26" s="728">
        <v>262461.45763033844</v>
      </c>
      <c r="M26" s="727">
        <v>252781.60226668997</v>
      </c>
      <c r="N26" s="727">
        <v>186066.43427461552</v>
      </c>
      <c r="O26" s="730">
        <f t="shared" si="0"/>
        <v>2952314.5274999999</v>
      </c>
    </row>
    <row r="27" spans="1:15" ht="13.5" thickBot="1" x14ac:dyDescent="0.25">
      <c r="A27" s="705" t="s">
        <v>293</v>
      </c>
      <c r="B27" s="706">
        <f>SUM(B7:B26)</f>
        <v>1</v>
      </c>
      <c r="C27" s="735">
        <f>SUM(C7:C26)</f>
        <v>5804455.1957815532</v>
      </c>
      <c r="D27" s="735">
        <f t="shared" ref="D27:N27" si="1">SUM(D7:D26)</f>
        <v>5840320.992977567</v>
      </c>
      <c r="E27" s="735">
        <f t="shared" si="1"/>
        <v>6635846.9911273047</v>
      </c>
      <c r="F27" s="735">
        <f t="shared" si="1"/>
        <v>6366753.5226038536</v>
      </c>
      <c r="G27" s="735">
        <f t="shared" si="1"/>
        <v>6795245.2057073349</v>
      </c>
      <c r="H27" s="735">
        <f t="shared" si="1"/>
        <v>6528484.1074125664</v>
      </c>
      <c r="I27" s="735">
        <f t="shared" si="1"/>
        <v>6768010.4012512695</v>
      </c>
      <c r="J27" s="735">
        <f t="shared" si="1"/>
        <v>6718084.6821133289</v>
      </c>
      <c r="K27" s="735">
        <f t="shared" si="1"/>
        <v>6409252.1999546802</v>
      </c>
      <c r="L27" s="735">
        <f t="shared" si="1"/>
        <v>6747081.1730164122</v>
      </c>
      <c r="M27" s="735">
        <f t="shared" si="1"/>
        <v>6498241.7035138793</v>
      </c>
      <c r="N27" s="735">
        <f t="shared" si="1"/>
        <v>4783198.8245402453</v>
      </c>
      <c r="O27" s="735">
        <f>SUM(C27:N27)</f>
        <v>75894975</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c r="O29" s="704"/>
    </row>
    <row r="31" spans="1:15" x14ac:dyDescent="0.2">
      <c r="C31" s="704">
        <v>8049883.0499999998</v>
      </c>
      <c r="D31" s="704">
        <v>8110499.4000000004</v>
      </c>
      <c r="E31" s="704">
        <v>7717421.9249999998</v>
      </c>
      <c r="F31" s="704">
        <v>8323290.4500000002</v>
      </c>
      <c r="G31" s="704">
        <v>8154733.0499999998</v>
      </c>
      <c r="H31" s="704">
        <v>8470401.3000000007</v>
      </c>
      <c r="I31" s="704">
        <v>8074978.2000000002</v>
      </c>
      <c r="J31" s="704">
        <v>8211700.7999999998</v>
      </c>
      <c r="K31" s="704">
        <v>8022366.9000000004</v>
      </c>
      <c r="L31" s="704">
        <v>7689608.3250000002</v>
      </c>
      <c r="M31" s="704">
        <v>7902734.625</v>
      </c>
      <c r="N31" s="704">
        <v>7556571.9000000004</v>
      </c>
      <c r="O31" s="704">
        <f>SUM(C31:N31)</f>
        <v>96284189.925000012</v>
      </c>
    </row>
    <row r="32" spans="1:15" x14ac:dyDescent="0.2">
      <c r="C32" s="704">
        <v>2245427.8542184466</v>
      </c>
      <c r="D32" s="704">
        <v>2270178.4070224334</v>
      </c>
      <c r="E32" s="704">
        <v>1081574.9338726951</v>
      </c>
      <c r="F32" s="704">
        <v>1956536.9273961466</v>
      </c>
      <c r="G32" s="704">
        <v>1359487.8442926649</v>
      </c>
      <c r="H32" s="704">
        <v>1941917.1925874343</v>
      </c>
      <c r="I32" s="704">
        <v>1306967.7987487307</v>
      </c>
      <c r="J32" s="704">
        <v>1493616.1178866709</v>
      </c>
      <c r="K32" s="704">
        <v>1613114.7000453202</v>
      </c>
      <c r="L32" s="704">
        <v>942527.151983588</v>
      </c>
      <c r="M32" s="704">
        <v>1404492.9214861207</v>
      </c>
      <c r="N32" s="704">
        <v>2773373.075459755</v>
      </c>
      <c r="O32" s="704">
        <f t="shared" ref="O32" si="2">O31-O27</f>
        <v>20389214.925000012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030A0"/>
  </sheetPr>
  <dimension ref="A1:O32"/>
  <sheetViews>
    <sheetView workbookViewId="0">
      <selection activeCell="G41" sqref="G41"/>
    </sheetView>
  </sheetViews>
  <sheetFormatPr baseColWidth="10" defaultRowHeight="12.75" x14ac:dyDescent="0.2"/>
  <cols>
    <col min="1" max="1" width="15.42578125" style="695" customWidth="1"/>
    <col min="2" max="2" width="9.28515625" style="695" customWidth="1"/>
    <col min="3" max="3" width="11.7109375" style="695" bestFit="1" customWidth="1"/>
    <col min="4" max="5" width="10.85546875" style="695" bestFit="1" customWidth="1"/>
    <col min="6" max="6" width="11.7109375" style="695" bestFit="1" customWidth="1"/>
    <col min="7" max="8" width="10.85546875" style="695" bestFit="1" customWidth="1"/>
    <col min="9" max="9" width="11.7109375" style="695" bestFit="1" customWidth="1"/>
    <col min="10" max="11" width="10.85546875" style="695" bestFit="1" customWidth="1"/>
    <col min="12" max="12" width="11.7109375" style="695" bestFit="1" customWidth="1"/>
    <col min="13" max="14" width="10.855468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413</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0.26983099999999999</v>
      </c>
      <c r="C7" s="727">
        <f t="shared" ref="C7:C26" si="0">$C$32*B7/100</f>
        <v>11802.679292037985</v>
      </c>
      <c r="D7" s="728">
        <f t="shared" ref="D7:D26" si="1">$D$32*B7/100</f>
        <v>1333.2292221198138</v>
      </c>
      <c r="E7" s="727">
        <f t="shared" ref="E7:E26" si="2">$E$32*B7/100</f>
        <v>1333.2292221198138</v>
      </c>
      <c r="F7" s="728">
        <f t="shared" ref="F7:F26" si="3">$F$32*B7/100</f>
        <v>18204.517099508423</v>
      </c>
      <c r="G7" s="727">
        <f t="shared" ref="G7:G26" si="4">$G$32*B7/100</f>
        <v>1333.2292221198138</v>
      </c>
      <c r="H7" s="727">
        <f t="shared" ref="H7:H26" si="5">$H$32*B7/100</f>
        <v>1333.2292221198138</v>
      </c>
      <c r="I7" s="729">
        <f t="shared" ref="I7:I26" si="6">$I$32*B7/100</f>
        <v>15264.771092395671</v>
      </c>
      <c r="J7" s="728">
        <f t="shared" ref="J7:J26" si="7">$J$32*B7/100</f>
        <v>1333.2292221198127</v>
      </c>
      <c r="K7" s="727">
        <f t="shared" ref="K7:K26" si="8">$K$32*B7/100</f>
        <v>1333.2292221198127</v>
      </c>
      <c r="L7" s="728">
        <f t="shared" ref="L7:L26" si="9">$L$32*B7/100</f>
        <v>13985.991384813668</v>
      </c>
      <c r="M7" s="727">
        <f t="shared" ref="M7:M26" si="10">$M$32*B7/100</f>
        <v>1333.2292221198115</v>
      </c>
      <c r="N7" s="727">
        <f t="shared" ref="N7:N26" si="11">$N$32*B7/100</f>
        <v>1333.2292221198115</v>
      </c>
      <c r="O7" s="730">
        <f t="shared" ref="O7:O27" si="12">SUM(C7:N7)</f>
        <v>69923.79264571426</v>
      </c>
    </row>
    <row r="8" spans="1:15" x14ac:dyDescent="0.2">
      <c r="A8" s="700" t="s">
        <v>149</v>
      </c>
      <c r="B8" s="731">
        <v>6.6882999999999998E-2</v>
      </c>
      <c r="C8" s="727">
        <f t="shared" si="0"/>
        <v>2925.5296800196288</v>
      </c>
      <c r="D8" s="728">
        <f t="shared" si="1"/>
        <v>330.46747802528074</v>
      </c>
      <c r="E8" s="727">
        <f t="shared" si="2"/>
        <v>330.46747802528074</v>
      </c>
      <c r="F8" s="728">
        <f t="shared" si="3"/>
        <v>4512.3529808154808</v>
      </c>
      <c r="G8" s="727">
        <f t="shared" si="4"/>
        <v>330.46747802528074</v>
      </c>
      <c r="H8" s="727">
        <f t="shared" si="5"/>
        <v>330.46747802528074</v>
      </c>
      <c r="I8" s="727">
        <f t="shared" si="6"/>
        <v>3783.6782466532745</v>
      </c>
      <c r="J8" s="728">
        <f t="shared" si="7"/>
        <v>330.46747802528034</v>
      </c>
      <c r="K8" s="727">
        <f t="shared" si="8"/>
        <v>330.46747802528034</v>
      </c>
      <c r="L8" s="728">
        <f t="shared" si="9"/>
        <v>3466.7071677846229</v>
      </c>
      <c r="M8" s="727">
        <f t="shared" si="10"/>
        <v>330.46747802528006</v>
      </c>
      <c r="N8" s="727">
        <f t="shared" si="11"/>
        <v>330.46747802528006</v>
      </c>
      <c r="O8" s="730">
        <f t="shared" si="12"/>
        <v>17332.007899475251</v>
      </c>
    </row>
    <row r="9" spans="1:15" x14ac:dyDescent="0.2">
      <c r="A9" s="700" t="s">
        <v>150</v>
      </c>
      <c r="B9" s="731">
        <v>2.5293E-2</v>
      </c>
      <c r="C9" s="727">
        <f t="shared" si="0"/>
        <v>1106.3412555767009</v>
      </c>
      <c r="D9" s="728">
        <f t="shared" si="1"/>
        <v>124.97217412038073</v>
      </c>
      <c r="E9" s="727">
        <f t="shared" si="2"/>
        <v>124.97217412038073</v>
      </c>
      <c r="F9" s="728">
        <f t="shared" si="3"/>
        <v>1706.4268041769351</v>
      </c>
      <c r="G9" s="727">
        <f t="shared" si="4"/>
        <v>124.97217412038073</v>
      </c>
      <c r="H9" s="727">
        <f t="shared" si="5"/>
        <v>124.97217412038073</v>
      </c>
      <c r="I9" s="727">
        <f t="shared" si="6"/>
        <v>1430.8654500037569</v>
      </c>
      <c r="J9" s="728">
        <f t="shared" si="7"/>
        <v>124.97217412038063</v>
      </c>
      <c r="K9" s="727">
        <f t="shared" si="8"/>
        <v>124.97217412038063</v>
      </c>
      <c r="L9" s="728">
        <f t="shared" si="9"/>
        <v>1310.9971800723122</v>
      </c>
      <c r="M9" s="727">
        <f t="shared" si="10"/>
        <v>124.9721741203805</v>
      </c>
      <c r="N9" s="727">
        <f t="shared" si="11"/>
        <v>124.9721741203805</v>
      </c>
      <c r="O9" s="730">
        <f t="shared" si="12"/>
        <v>6554.4080827927492</v>
      </c>
    </row>
    <row r="10" spans="1:15" x14ac:dyDescent="0.2">
      <c r="A10" s="700" t="s">
        <v>288</v>
      </c>
      <c r="B10" s="731">
        <v>28.462443</v>
      </c>
      <c r="C10" s="727">
        <f t="shared" si="0"/>
        <v>1244975.8797058584</v>
      </c>
      <c r="D10" s="728">
        <f t="shared" si="1"/>
        <v>140632.32445686206</v>
      </c>
      <c r="E10" s="727">
        <f t="shared" si="2"/>
        <v>140632.32445686206</v>
      </c>
      <c r="F10" s="728">
        <f t="shared" si="3"/>
        <v>1920257.6067512033</v>
      </c>
      <c r="G10" s="727">
        <f t="shared" si="4"/>
        <v>140632.32445686206</v>
      </c>
      <c r="H10" s="727">
        <f t="shared" si="5"/>
        <v>140632.32445686206</v>
      </c>
      <c r="I10" s="727">
        <f t="shared" si="6"/>
        <v>1610165.9080141254</v>
      </c>
      <c r="J10" s="728">
        <f t="shared" si="7"/>
        <v>140632.32445686191</v>
      </c>
      <c r="K10" s="727">
        <f t="shared" si="8"/>
        <v>140632.32445686191</v>
      </c>
      <c r="L10" s="728">
        <f t="shared" si="9"/>
        <v>1475277.0533732229</v>
      </c>
      <c r="M10" s="727">
        <f t="shared" si="10"/>
        <v>140632.3244568618</v>
      </c>
      <c r="N10" s="727">
        <f t="shared" si="11"/>
        <v>140632.3244568618</v>
      </c>
      <c r="O10" s="730">
        <f t="shared" si="12"/>
        <v>7375735.0434993077</v>
      </c>
    </row>
    <row r="11" spans="1:15" x14ac:dyDescent="0.2">
      <c r="A11" s="700" t="s">
        <v>152</v>
      </c>
      <c r="B11" s="731">
        <v>1.2733939999999999</v>
      </c>
      <c r="C11" s="727">
        <f t="shared" si="0"/>
        <v>55699.534132124987</v>
      </c>
      <c r="D11" s="728">
        <f t="shared" si="1"/>
        <v>6291.8126237238803</v>
      </c>
      <c r="E11" s="727">
        <f t="shared" si="2"/>
        <v>6291.8126237238803</v>
      </c>
      <c r="F11" s="728">
        <f t="shared" si="3"/>
        <v>85911.266116241008</v>
      </c>
      <c r="G11" s="727">
        <f t="shared" si="4"/>
        <v>6291.8126237238803</v>
      </c>
      <c r="H11" s="727">
        <f t="shared" si="5"/>
        <v>6291.8126237238803</v>
      </c>
      <c r="I11" s="727">
        <f t="shared" si="6"/>
        <v>72037.934560632741</v>
      </c>
      <c r="J11" s="728">
        <f t="shared" si="7"/>
        <v>6291.8126237238748</v>
      </c>
      <c r="K11" s="727">
        <f t="shared" si="8"/>
        <v>6291.8126237238748</v>
      </c>
      <c r="L11" s="728">
        <f t="shared" si="9"/>
        <v>66003.081608389752</v>
      </c>
      <c r="M11" s="727">
        <f t="shared" si="10"/>
        <v>6291.8126237238675</v>
      </c>
      <c r="N11" s="727">
        <f t="shared" si="11"/>
        <v>6291.8126237238675</v>
      </c>
      <c r="O11" s="730">
        <f t="shared" si="12"/>
        <v>329986.31740717951</v>
      </c>
    </row>
    <row r="12" spans="1:15" x14ac:dyDescent="0.2">
      <c r="A12" s="700" t="s">
        <v>289</v>
      </c>
      <c r="B12" s="731">
        <v>3.1770000000000001E-3</v>
      </c>
      <c r="C12" s="727">
        <f t="shared" si="0"/>
        <v>138.9651749087565</v>
      </c>
      <c r="D12" s="728">
        <f t="shared" si="1"/>
        <v>15.697489312475769</v>
      </c>
      <c r="E12" s="727">
        <f t="shared" si="2"/>
        <v>15.697489312475769</v>
      </c>
      <c r="F12" s="728">
        <f t="shared" si="3"/>
        <v>214.34064590480065</v>
      </c>
      <c r="G12" s="727">
        <f t="shared" si="4"/>
        <v>15.697489312475769</v>
      </c>
      <c r="H12" s="727">
        <f t="shared" si="5"/>
        <v>15.697489312475769</v>
      </c>
      <c r="I12" s="727">
        <f t="shared" si="6"/>
        <v>179.7279695829651</v>
      </c>
      <c r="J12" s="728">
        <f t="shared" si="7"/>
        <v>15.697489312475755</v>
      </c>
      <c r="K12" s="727">
        <f t="shared" si="8"/>
        <v>15.697489312475755</v>
      </c>
      <c r="L12" s="728">
        <f t="shared" si="9"/>
        <v>164.67157083342175</v>
      </c>
      <c r="M12" s="727">
        <f t="shared" si="10"/>
        <v>15.697489312475739</v>
      </c>
      <c r="N12" s="727">
        <f t="shared" si="11"/>
        <v>15.697489312475739</v>
      </c>
      <c r="O12" s="730">
        <f t="shared" si="12"/>
        <v>823.28527572975008</v>
      </c>
    </row>
    <row r="13" spans="1:15" x14ac:dyDescent="0.2">
      <c r="A13" s="700" t="s">
        <v>154</v>
      </c>
      <c r="B13" s="731">
        <v>7.5100000000000004E-4</v>
      </c>
      <c r="C13" s="727">
        <f t="shared" si="0"/>
        <v>32.849495233388772</v>
      </c>
      <c r="D13" s="728">
        <f t="shared" si="1"/>
        <v>3.7106749995811463</v>
      </c>
      <c r="E13" s="727">
        <f t="shared" si="2"/>
        <v>3.7106749995811463</v>
      </c>
      <c r="F13" s="728">
        <f t="shared" si="3"/>
        <v>50.667241131414954</v>
      </c>
      <c r="G13" s="727">
        <f t="shared" si="4"/>
        <v>3.7106749995811463</v>
      </c>
      <c r="H13" s="727">
        <f t="shared" si="5"/>
        <v>3.7106749995811463</v>
      </c>
      <c r="I13" s="727">
        <f t="shared" si="6"/>
        <v>42.485270744981669</v>
      </c>
      <c r="J13" s="728">
        <f t="shared" si="7"/>
        <v>3.7106749995811428</v>
      </c>
      <c r="K13" s="727">
        <f t="shared" si="8"/>
        <v>3.7106749995811428</v>
      </c>
      <c r="L13" s="728">
        <f t="shared" si="9"/>
        <v>38.926140917815466</v>
      </c>
      <c r="M13" s="727">
        <f t="shared" si="10"/>
        <v>3.7106749995811397</v>
      </c>
      <c r="N13" s="727">
        <f t="shared" si="11"/>
        <v>3.7106749995811397</v>
      </c>
      <c r="O13" s="730">
        <f t="shared" si="12"/>
        <v>194.61354802424998</v>
      </c>
    </row>
    <row r="14" spans="1:15" x14ac:dyDescent="0.2">
      <c r="A14" s="700" t="s">
        <v>155</v>
      </c>
      <c r="B14" s="731">
        <v>0.221751</v>
      </c>
      <c r="C14" s="727">
        <f t="shared" si="0"/>
        <v>9699.6117410109109</v>
      </c>
      <c r="D14" s="728">
        <f t="shared" si="1"/>
        <v>1095.6669664875083</v>
      </c>
      <c r="E14" s="727">
        <f t="shared" si="2"/>
        <v>1095.6669664875083</v>
      </c>
      <c r="F14" s="728">
        <f t="shared" si="3"/>
        <v>14960.734205236215</v>
      </c>
      <c r="G14" s="727">
        <f t="shared" si="4"/>
        <v>1095.6669664875083</v>
      </c>
      <c r="H14" s="727">
        <f t="shared" si="5"/>
        <v>1095.6669664875083</v>
      </c>
      <c r="I14" s="727">
        <f t="shared" si="6"/>
        <v>12544.808619135061</v>
      </c>
      <c r="J14" s="728">
        <f t="shared" si="7"/>
        <v>1095.6669664875074</v>
      </c>
      <c r="K14" s="727">
        <f t="shared" si="8"/>
        <v>1095.6669664875074</v>
      </c>
      <c r="L14" s="728">
        <f t="shared" si="9"/>
        <v>11493.889047492006</v>
      </c>
      <c r="M14" s="727">
        <f t="shared" si="10"/>
        <v>1095.6669664875062</v>
      </c>
      <c r="N14" s="727">
        <f t="shared" si="11"/>
        <v>1095.6669664875062</v>
      </c>
      <c r="O14" s="730">
        <f t="shared" si="12"/>
        <v>57464.379344774257</v>
      </c>
    </row>
    <row r="15" spans="1:15" x14ac:dyDescent="0.2">
      <c r="A15" s="700" t="s">
        <v>156</v>
      </c>
      <c r="B15" s="731">
        <v>4.1020000000000001E-2</v>
      </c>
      <c r="C15" s="727">
        <f t="shared" si="0"/>
        <v>1794.2560512298369</v>
      </c>
      <c r="D15" s="728">
        <f t="shared" si="1"/>
        <v>202.67894604902614</v>
      </c>
      <c r="E15" s="727">
        <f t="shared" si="2"/>
        <v>202.67894604902614</v>
      </c>
      <c r="F15" s="728">
        <f t="shared" si="3"/>
        <v>2767.4703478170991</v>
      </c>
      <c r="G15" s="727">
        <f t="shared" si="4"/>
        <v>202.67894604902614</v>
      </c>
      <c r="H15" s="727">
        <f t="shared" si="5"/>
        <v>202.67894604902614</v>
      </c>
      <c r="I15" s="727">
        <f t="shared" si="6"/>
        <v>2320.5669852984665</v>
      </c>
      <c r="J15" s="728">
        <f t="shared" si="7"/>
        <v>202.67894604902594</v>
      </c>
      <c r="K15" s="727">
        <f t="shared" si="8"/>
        <v>202.67894604902594</v>
      </c>
      <c r="L15" s="728">
        <f t="shared" si="9"/>
        <v>2126.1655132473907</v>
      </c>
      <c r="M15" s="727">
        <f t="shared" si="10"/>
        <v>202.67894604902577</v>
      </c>
      <c r="N15" s="727">
        <f t="shared" si="11"/>
        <v>202.67894604902577</v>
      </c>
      <c r="O15" s="730">
        <f t="shared" si="12"/>
        <v>10629.890465985001</v>
      </c>
    </row>
    <row r="16" spans="1:15" x14ac:dyDescent="0.2">
      <c r="A16" s="700" t="s">
        <v>157</v>
      </c>
      <c r="B16" s="731">
        <v>2.1866E-2</v>
      </c>
      <c r="C16" s="727">
        <f t="shared" si="0"/>
        <v>956.44082925869373</v>
      </c>
      <c r="D16" s="728">
        <f t="shared" si="1"/>
        <v>108.03944013427608</v>
      </c>
      <c r="E16" s="727">
        <f t="shared" si="2"/>
        <v>108.03944013427608</v>
      </c>
      <c r="F16" s="728">
        <f t="shared" si="3"/>
        <v>1475.2195666837808</v>
      </c>
      <c r="G16" s="727">
        <f t="shared" si="4"/>
        <v>108.03944013427608</v>
      </c>
      <c r="H16" s="727">
        <f t="shared" si="5"/>
        <v>108.03944013427608</v>
      </c>
      <c r="I16" s="727">
        <f t="shared" si="6"/>
        <v>1236.9945807054185</v>
      </c>
      <c r="J16" s="728">
        <f t="shared" si="7"/>
        <v>108.03944013427599</v>
      </c>
      <c r="K16" s="727">
        <f t="shared" si="8"/>
        <v>108.03944013427599</v>
      </c>
      <c r="L16" s="728">
        <f t="shared" si="9"/>
        <v>1133.3675064033994</v>
      </c>
      <c r="M16" s="727">
        <f t="shared" si="10"/>
        <v>108.03944013427588</v>
      </c>
      <c r="N16" s="727">
        <f t="shared" si="11"/>
        <v>108.03944013427588</v>
      </c>
      <c r="O16" s="730">
        <f t="shared" si="12"/>
        <v>5666.3380041255004</v>
      </c>
    </row>
    <row r="17" spans="1:15" x14ac:dyDescent="0.2">
      <c r="A17" s="700" t="s">
        <v>158</v>
      </c>
      <c r="B17" s="731">
        <v>5.1152000000000003E-2</v>
      </c>
      <c r="C17" s="727">
        <f t="shared" si="0"/>
        <v>2237.4399203439448</v>
      </c>
      <c r="D17" s="728">
        <f t="shared" si="1"/>
        <v>252.74094218185729</v>
      </c>
      <c r="E17" s="727">
        <f t="shared" si="2"/>
        <v>252.74094218185729</v>
      </c>
      <c r="F17" s="728">
        <f t="shared" si="3"/>
        <v>3451.0395717099036</v>
      </c>
      <c r="G17" s="727">
        <f t="shared" si="4"/>
        <v>252.74094218185729</v>
      </c>
      <c r="H17" s="727">
        <f t="shared" si="5"/>
        <v>252.74094218185729</v>
      </c>
      <c r="I17" s="727">
        <f t="shared" si="6"/>
        <v>2893.7504249631193</v>
      </c>
      <c r="J17" s="728">
        <f t="shared" si="7"/>
        <v>252.74094218185704</v>
      </c>
      <c r="K17" s="727">
        <f t="shared" si="8"/>
        <v>252.74094218185704</v>
      </c>
      <c r="L17" s="728">
        <f t="shared" si="9"/>
        <v>2651.3315049641765</v>
      </c>
      <c r="M17" s="727">
        <f t="shared" si="10"/>
        <v>252.74094218185678</v>
      </c>
      <c r="N17" s="727">
        <f t="shared" si="11"/>
        <v>252.74094218185678</v>
      </c>
      <c r="O17" s="730">
        <f t="shared" si="12"/>
        <v>13255.488959436005</v>
      </c>
    </row>
    <row r="18" spans="1:15" x14ac:dyDescent="0.2">
      <c r="A18" s="700" t="s">
        <v>159</v>
      </c>
      <c r="B18" s="731">
        <v>4.3027000000000003E-2</v>
      </c>
      <c r="C18" s="727">
        <f t="shared" si="0"/>
        <v>1882.0442495433008</v>
      </c>
      <c r="D18" s="728">
        <f t="shared" si="1"/>
        <v>212.59549028891877</v>
      </c>
      <c r="E18" s="727">
        <f t="shared" si="2"/>
        <v>212.59549028891877</v>
      </c>
      <c r="F18" s="728">
        <f t="shared" si="3"/>
        <v>2902.8753450884037</v>
      </c>
      <c r="G18" s="727">
        <f t="shared" si="4"/>
        <v>212.59549028891877</v>
      </c>
      <c r="H18" s="727">
        <f t="shared" si="5"/>
        <v>212.59549028891877</v>
      </c>
      <c r="I18" s="727">
        <f t="shared" si="6"/>
        <v>2434.1061842134841</v>
      </c>
      <c r="J18" s="728">
        <f t="shared" si="7"/>
        <v>212.59549028891854</v>
      </c>
      <c r="K18" s="727">
        <f t="shared" si="8"/>
        <v>212.59549028891854</v>
      </c>
      <c r="L18" s="728">
        <f t="shared" si="9"/>
        <v>2230.1931628107141</v>
      </c>
      <c r="M18" s="727">
        <f t="shared" si="10"/>
        <v>212.59549028891837</v>
      </c>
      <c r="N18" s="727">
        <f t="shared" si="11"/>
        <v>212.59549028891837</v>
      </c>
      <c r="O18" s="730">
        <f t="shared" si="12"/>
        <v>11149.982863967254</v>
      </c>
    </row>
    <row r="19" spans="1:15" x14ac:dyDescent="0.2">
      <c r="A19" s="700" t="s">
        <v>160</v>
      </c>
      <c r="B19" s="731">
        <v>0.189189</v>
      </c>
      <c r="C19" s="727">
        <f t="shared" si="0"/>
        <v>8275.3171154588399</v>
      </c>
      <c r="D19" s="728">
        <f t="shared" si="1"/>
        <v>934.77881823669441</v>
      </c>
      <c r="E19" s="727">
        <f t="shared" si="2"/>
        <v>934.77881823669441</v>
      </c>
      <c r="F19" s="728">
        <f t="shared" si="3"/>
        <v>12763.894384036301</v>
      </c>
      <c r="G19" s="727">
        <f t="shared" si="4"/>
        <v>934.77881823669441</v>
      </c>
      <c r="H19" s="727">
        <f t="shared" si="5"/>
        <v>934.77881823669441</v>
      </c>
      <c r="I19" s="727">
        <f t="shared" si="6"/>
        <v>10702.724217007106</v>
      </c>
      <c r="J19" s="728">
        <f t="shared" si="7"/>
        <v>934.7788182366935</v>
      </c>
      <c r="K19" s="727">
        <f t="shared" si="8"/>
        <v>934.7788182366935</v>
      </c>
      <c r="L19" s="728">
        <f t="shared" si="9"/>
        <v>9806.1220693749547</v>
      </c>
      <c r="M19" s="727">
        <f t="shared" si="10"/>
        <v>934.77881823669259</v>
      </c>
      <c r="N19" s="727">
        <f t="shared" si="11"/>
        <v>934.77881823669259</v>
      </c>
      <c r="O19" s="730">
        <f t="shared" si="12"/>
        <v>49026.288331770753</v>
      </c>
    </row>
    <row r="20" spans="1:15" x14ac:dyDescent="0.2">
      <c r="A20" s="700" t="s">
        <v>290</v>
      </c>
      <c r="B20" s="731">
        <v>8.8149999999999999E-3</v>
      </c>
      <c r="C20" s="727">
        <f t="shared" si="0"/>
        <v>385.57696469017583</v>
      </c>
      <c r="D20" s="728">
        <f t="shared" si="1"/>
        <v>43.554727192154196</v>
      </c>
      <c r="E20" s="727">
        <f t="shared" si="2"/>
        <v>43.554727192154196</v>
      </c>
      <c r="F20" s="728">
        <f t="shared" si="3"/>
        <v>594.71601940535652</v>
      </c>
      <c r="G20" s="727">
        <f t="shared" si="4"/>
        <v>43.554727192154196</v>
      </c>
      <c r="H20" s="727">
        <f t="shared" si="5"/>
        <v>43.554727192154196</v>
      </c>
      <c r="I20" s="727">
        <f t="shared" si="6"/>
        <v>498.67864396406583</v>
      </c>
      <c r="J20" s="728">
        <f t="shared" si="7"/>
        <v>43.554727192154161</v>
      </c>
      <c r="K20" s="727">
        <f t="shared" si="8"/>
        <v>43.554727192154161</v>
      </c>
      <c r="L20" s="728">
        <f t="shared" si="9"/>
        <v>456.90270597941856</v>
      </c>
      <c r="M20" s="727">
        <f t="shared" si="10"/>
        <v>43.554727192154111</v>
      </c>
      <c r="N20" s="727">
        <f t="shared" si="11"/>
        <v>43.554727192154111</v>
      </c>
      <c r="O20" s="730">
        <f t="shared" si="12"/>
        <v>2284.31215157625</v>
      </c>
    </row>
    <row r="21" spans="1:15" x14ac:dyDescent="0.2">
      <c r="A21" s="700" t="s">
        <v>291</v>
      </c>
      <c r="B21" s="731">
        <v>6.9351999999999997E-2</v>
      </c>
      <c r="C21" s="727">
        <f t="shared" si="0"/>
        <v>3033.5262229373875</v>
      </c>
      <c r="D21" s="728">
        <f t="shared" si="1"/>
        <v>342.66675442203945</v>
      </c>
      <c r="E21" s="727">
        <f t="shared" si="2"/>
        <v>342.66675442203945</v>
      </c>
      <c r="F21" s="728">
        <f t="shared" si="3"/>
        <v>4678.9274393420628</v>
      </c>
      <c r="G21" s="727">
        <f t="shared" si="4"/>
        <v>342.66675442203945</v>
      </c>
      <c r="H21" s="727">
        <f t="shared" si="5"/>
        <v>342.66675442203945</v>
      </c>
      <c r="I21" s="727">
        <f t="shared" si="6"/>
        <v>3923.3535242423018</v>
      </c>
      <c r="J21" s="728">
        <f t="shared" si="7"/>
        <v>342.66675442203916</v>
      </c>
      <c r="K21" s="727">
        <f t="shared" si="8"/>
        <v>342.66675442203916</v>
      </c>
      <c r="L21" s="728">
        <f t="shared" si="9"/>
        <v>3594.6813913879332</v>
      </c>
      <c r="M21" s="727">
        <f t="shared" si="10"/>
        <v>342.66675442203882</v>
      </c>
      <c r="N21" s="727">
        <f t="shared" si="11"/>
        <v>342.66675442203882</v>
      </c>
      <c r="O21" s="730">
        <f t="shared" si="12"/>
        <v>17971.822613286004</v>
      </c>
    </row>
    <row r="22" spans="1:15" x14ac:dyDescent="0.2">
      <c r="A22" s="700" t="s">
        <v>292</v>
      </c>
      <c r="B22" s="731">
        <v>1.0236860000000001</v>
      </c>
      <c r="C22" s="727">
        <f t="shared" si="0"/>
        <v>44777.055096520409</v>
      </c>
      <c r="D22" s="728">
        <f t="shared" si="1"/>
        <v>5058.0107158738028</v>
      </c>
      <c r="E22" s="727">
        <f t="shared" si="2"/>
        <v>5058.0107158738028</v>
      </c>
      <c r="F22" s="728">
        <f t="shared" si="3"/>
        <v>69064.374706862378</v>
      </c>
      <c r="G22" s="727">
        <f t="shared" si="4"/>
        <v>5058.0107158738028</v>
      </c>
      <c r="H22" s="727">
        <f t="shared" si="5"/>
        <v>5058.0107158738028</v>
      </c>
      <c r="I22" s="727">
        <f t="shared" si="6"/>
        <v>57911.553752126914</v>
      </c>
      <c r="J22" s="728">
        <f t="shared" si="7"/>
        <v>5058.0107158737983</v>
      </c>
      <c r="K22" s="727">
        <f t="shared" si="8"/>
        <v>5058.0107158737983</v>
      </c>
      <c r="L22" s="728">
        <f t="shared" si="9"/>
        <v>53060.113837010453</v>
      </c>
      <c r="M22" s="727">
        <f t="shared" si="10"/>
        <v>5058.0107158737928</v>
      </c>
      <c r="N22" s="727">
        <f t="shared" si="11"/>
        <v>5058.0107158737928</v>
      </c>
      <c r="O22" s="730">
        <f t="shared" si="12"/>
        <v>265277.18311951053</v>
      </c>
    </row>
    <row r="23" spans="1:15" x14ac:dyDescent="0.2">
      <c r="A23" s="700" t="s">
        <v>164</v>
      </c>
      <c r="B23" s="731">
        <v>0.111247</v>
      </c>
      <c r="C23" s="727">
        <f t="shared" si="0"/>
        <v>4866.0556540996013</v>
      </c>
      <c r="D23" s="728">
        <f t="shared" si="1"/>
        <v>549.66905682876666</v>
      </c>
      <c r="E23" s="727">
        <f t="shared" si="2"/>
        <v>549.66905682876666</v>
      </c>
      <c r="F23" s="728">
        <f t="shared" si="3"/>
        <v>7505.4308577184011</v>
      </c>
      <c r="G23" s="727">
        <f t="shared" si="4"/>
        <v>549.66905682876666</v>
      </c>
      <c r="H23" s="727">
        <f t="shared" si="5"/>
        <v>549.66905682876666</v>
      </c>
      <c r="I23" s="727">
        <f t="shared" si="6"/>
        <v>6293.4206585445754</v>
      </c>
      <c r="J23" s="728">
        <f t="shared" si="7"/>
        <v>549.6690568287662</v>
      </c>
      <c r="K23" s="727">
        <f t="shared" si="8"/>
        <v>549.6690568287662</v>
      </c>
      <c r="L23" s="728">
        <f t="shared" si="9"/>
        <v>5766.200264559543</v>
      </c>
      <c r="M23" s="727">
        <f t="shared" si="10"/>
        <v>549.66905682876563</v>
      </c>
      <c r="N23" s="727">
        <f t="shared" si="11"/>
        <v>549.66905682876563</v>
      </c>
      <c r="O23" s="730">
        <f t="shared" si="12"/>
        <v>28828.459889552254</v>
      </c>
    </row>
    <row r="24" spans="1:15" x14ac:dyDescent="0.2">
      <c r="A24" s="700" t="s">
        <v>165</v>
      </c>
      <c r="B24" s="731">
        <v>66.664959999999994</v>
      </c>
      <c r="C24" s="727">
        <f t="shared" si="0"/>
        <v>2915992.3911505365</v>
      </c>
      <c r="D24" s="728">
        <f t="shared" si="1"/>
        <v>329390.14703072852</v>
      </c>
      <c r="E24" s="727">
        <f t="shared" si="2"/>
        <v>329390.14703072852</v>
      </c>
      <c r="F24" s="728">
        <f t="shared" si="3"/>
        <v>4497642.6142957816</v>
      </c>
      <c r="G24" s="727">
        <f t="shared" si="4"/>
        <v>329390.14703072852</v>
      </c>
      <c r="H24" s="727">
        <f t="shared" si="5"/>
        <v>329390.14703072852</v>
      </c>
      <c r="I24" s="727">
        <f t="shared" si="6"/>
        <v>3771343.3752375138</v>
      </c>
      <c r="J24" s="728">
        <f t="shared" si="7"/>
        <v>329390.14703072817</v>
      </c>
      <c r="K24" s="727">
        <f t="shared" si="8"/>
        <v>329390.14703072817</v>
      </c>
      <c r="L24" s="728">
        <f t="shared" si="9"/>
        <v>3455405.6288156207</v>
      </c>
      <c r="M24" s="727">
        <f t="shared" si="10"/>
        <v>329390.14703072788</v>
      </c>
      <c r="N24" s="727">
        <f t="shared" si="11"/>
        <v>329390.14703072788</v>
      </c>
      <c r="O24" s="730">
        <f t="shared" si="12"/>
        <v>17275505.185745273</v>
      </c>
    </row>
    <row r="25" spans="1:15" x14ac:dyDescent="0.2">
      <c r="A25" s="700" t="s">
        <v>166</v>
      </c>
      <c r="B25" s="731">
        <v>5.1431999999999999E-2</v>
      </c>
      <c r="C25" s="727">
        <f t="shared" si="0"/>
        <v>2249.6874019223055</v>
      </c>
      <c r="D25" s="728">
        <f t="shared" si="1"/>
        <v>254.12441621632158</v>
      </c>
      <c r="E25" s="727">
        <f t="shared" si="2"/>
        <v>254.12441621632158</v>
      </c>
      <c r="F25" s="728">
        <f t="shared" si="3"/>
        <v>3469.9301542888597</v>
      </c>
      <c r="G25" s="727">
        <f t="shared" si="4"/>
        <v>254.12441621632158</v>
      </c>
      <c r="H25" s="727">
        <f t="shared" si="5"/>
        <v>254.12441621632158</v>
      </c>
      <c r="I25" s="727">
        <f t="shared" si="6"/>
        <v>2909.5904726443368</v>
      </c>
      <c r="J25" s="728">
        <f t="shared" si="7"/>
        <v>254.12441621632132</v>
      </c>
      <c r="K25" s="727">
        <f t="shared" si="8"/>
        <v>254.12441621632132</v>
      </c>
      <c r="L25" s="728">
        <f t="shared" si="9"/>
        <v>2665.8445801399271</v>
      </c>
      <c r="M25" s="727">
        <f t="shared" si="10"/>
        <v>254.12441621632112</v>
      </c>
      <c r="N25" s="727">
        <f t="shared" si="11"/>
        <v>254.12441621632112</v>
      </c>
      <c r="O25" s="730">
        <f t="shared" si="12"/>
        <v>13328.047938725998</v>
      </c>
    </row>
    <row r="26" spans="1:15" ht="13.5" thickBot="1" x14ac:dyDescent="0.25">
      <c r="A26" s="700" t="s">
        <v>167</v>
      </c>
      <c r="B26" s="732">
        <v>1.40073</v>
      </c>
      <c r="C26" s="727">
        <f t="shared" si="0"/>
        <v>61269.338825918327</v>
      </c>
      <c r="D26" s="728">
        <f t="shared" si="1"/>
        <v>6920.9770867687066</v>
      </c>
      <c r="E26" s="727">
        <f t="shared" si="2"/>
        <v>6920.9770867687066</v>
      </c>
      <c r="F26" s="728">
        <f t="shared" si="3"/>
        <v>94502.16334221953</v>
      </c>
      <c r="G26" s="727">
        <f t="shared" si="4"/>
        <v>6920.9770867687066</v>
      </c>
      <c r="H26" s="727">
        <f t="shared" si="5"/>
        <v>6920.9770867687066</v>
      </c>
      <c r="I26" s="733">
        <f t="shared" si="6"/>
        <v>79241.535673259888</v>
      </c>
      <c r="J26" s="728">
        <f t="shared" si="7"/>
        <v>6920.9770867687012</v>
      </c>
      <c r="K26" s="727">
        <f t="shared" si="8"/>
        <v>6920.9770867687012</v>
      </c>
      <c r="L26" s="728">
        <f t="shared" si="9"/>
        <v>72603.21353903017</v>
      </c>
      <c r="M26" s="727">
        <f t="shared" si="10"/>
        <v>6920.9770867686939</v>
      </c>
      <c r="N26" s="727">
        <f t="shared" si="11"/>
        <v>6920.9770867686939</v>
      </c>
      <c r="O26" s="730">
        <f t="shared" si="12"/>
        <v>362984.0680745776</v>
      </c>
    </row>
    <row r="27" spans="1:15" ht="13.5" thickBot="1" x14ac:dyDescent="0.25">
      <c r="A27" s="705" t="s">
        <v>293</v>
      </c>
      <c r="B27" s="734">
        <f t="shared" ref="B27:N27" si="13">SUM(B7:B26)</f>
        <v>99.999998999999988</v>
      </c>
      <c r="C27" s="735">
        <f t="shared" si="13"/>
        <v>4374100.51995923</v>
      </c>
      <c r="D27" s="735">
        <f t="shared" si="13"/>
        <v>494097.86451057211</v>
      </c>
      <c r="E27" s="735">
        <f t="shared" si="13"/>
        <v>494097.86451057211</v>
      </c>
      <c r="F27" s="735">
        <f t="shared" si="13"/>
        <v>6746636.5678751711</v>
      </c>
      <c r="G27" s="735">
        <f t="shared" si="13"/>
        <v>494097.86451057211</v>
      </c>
      <c r="H27" s="735">
        <f t="shared" si="13"/>
        <v>494097.86451057211</v>
      </c>
      <c r="I27" s="735">
        <f t="shared" si="13"/>
        <v>5657159.829577757</v>
      </c>
      <c r="J27" s="735">
        <f t="shared" si="13"/>
        <v>494097.86451057158</v>
      </c>
      <c r="K27" s="735">
        <f t="shared" si="13"/>
        <v>494097.86451057158</v>
      </c>
      <c r="L27" s="735">
        <f t="shared" si="13"/>
        <v>5183241.0823640563</v>
      </c>
      <c r="M27" s="735">
        <f t="shared" si="13"/>
        <v>494097.86451057118</v>
      </c>
      <c r="N27" s="735">
        <f t="shared" si="13"/>
        <v>494097.86451057118</v>
      </c>
      <c r="O27" s="735">
        <f t="shared" si="12"/>
        <v>25913920.915860791</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row>
    <row r="32" spans="1:15" x14ac:dyDescent="0.2">
      <c r="C32" s="704">
        <f>'FFOR ESTIMACIONES'!C32</f>
        <v>4374100.5637002364</v>
      </c>
      <c r="D32" s="704">
        <f>'FFOR ESTIMACIONES'!D32</f>
        <v>494097.86945155077</v>
      </c>
      <c r="E32" s="704">
        <f>'FFOR ESTIMACIONES'!E32</f>
        <v>494097.86945155077</v>
      </c>
      <c r="F32" s="704">
        <f>'FFOR ESTIMACIONES'!F32</f>
        <v>6746636.6353415381</v>
      </c>
      <c r="G32" s="704">
        <f>'FFOR ESTIMACIONES'!G32</f>
        <v>494097.86945155077</v>
      </c>
      <c r="H32" s="704">
        <f>'FFOR ESTIMACIONES'!H32</f>
        <v>494097.86945155077</v>
      </c>
      <c r="I32" s="704">
        <f>'FFOR ESTIMACIONES'!I32</f>
        <v>5657159.8861493571</v>
      </c>
      <c r="J32" s="704">
        <f>'FFOR ESTIMACIONES'!J32</f>
        <v>494097.8694515503</v>
      </c>
      <c r="K32" s="704">
        <f>'FFOR ESTIMACIONES'!K32</f>
        <v>494097.8694515503</v>
      </c>
      <c r="L32" s="704">
        <f>'FFOR ESTIMACIONES'!L32</f>
        <v>5183241.1341964668</v>
      </c>
      <c r="M32" s="704">
        <f>'FFOR ESTIMACIONES'!M32</f>
        <v>494097.86945154984</v>
      </c>
      <c r="N32" s="704">
        <f>'FFOR ESTIMACIONES'!N32</f>
        <v>494097.86945154984</v>
      </c>
      <c r="O32" s="704">
        <f>'FFOR ESTIMACIONES'!O32</f>
        <v>25913921.175000004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7030A0"/>
  </sheetPr>
  <dimension ref="A1:O32"/>
  <sheetViews>
    <sheetView workbookViewId="0">
      <selection activeCell="G41" sqref="G41"/>
    </sheetView>
  </sheetViews>
  <sheetFormatPr baseColWidth="10" defaultRowHeight="12.75" x14ac:dyDescent="0.2"/>
  <cols>
    <col min="1" max="1" width="15.42578125" style="695" customWidth="1"/>
    <col min="2" max="2" width="9.28515625" style="695" customWidth="1"/>
    <col min="3" max="3" width="11.85546875" style="695" bestFit="1" customWidth="1"/>
    <col min="4" max="5" width="11.7109375" style="695" bestFit="1" customWidth="1"/>
    <col min="6" max="6" width="12.7109375" style="695" bestFit="1" customWidth="1"/>
    <col min="7" max="8" width="11.7109375" style="695" bestFit="1" customWidth="1"/>
    <col min="9" max="9" width="11.85546875" style="695" bestFit="1" customWidth="1"/>
    <col min="10" max="11" width="11.7109375" style="695" bestFit="1" customWidth="1"/>
    <col min="12" max="12" width="11.85546875" style="695" bestFit="1" customWidth="1"/>
    <col min="13" max="14" width="11.71093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414</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3.6499999999999998E-2</v>
      </c>
      <c r="C7" s="727">
        <v>154257.12253206508</v>
      </c>
      <c r="D7" s="728">
        <v>120162.95703191035</v>
      </c>
      <c r="E7" s="727">
        <v>120162.95703191035</v>
      </c>
      <c r="F7" s="728">
        <v>181543.94365766429</v>
      </c>
      <c r="G7" s="727">
        <v>120162.95703191035</v>
      </c>
      <c r="H7" s="727">
        <v>120162.95703191035</v>
      </c>
      <c r="I7" s="729">
        <v>152643.60360410286</v>
      </c>
      <c r="J7" s="728">
        <v>120162.95703191037</v>
      </c>
      <c r="K7" s="727">
        <v>120162.95703191037</v>
      </c>
      <c r="L7" s="728">
        <v>159154.33645088488</v>
      </c>
      <c r="M7" s="727">
        <v>120162.9570319104</v>
      </c>
      <c r="N7" s="727">
        <v>120162.9570319104</v>
      </c>
      <c r="O7" s="730">
        <f t="shared" ref="O7:O27" si="0">SUM(C7:N7)</f>
        <v>1608902.6624999996</v>
      </c>
    </row>
    <row r="8" spans="1:15" x14ac:dyDescent="0.2">
      <c r="A8" s="700" t="s">
        <v>149</v>
      </c>
      <c r="B8" s="712">
        <v>1.49E-2</v>
      </c>
      <c r="C8" s="727">
        <v>62970.715773363561</v>
      </c>
      <c r="D8" s="728">
        <v>49052.82355549217</v>
      </c>
      <c r="E8" s="727">
        <v>49052.82355549217</v>
      </c>
      <c r="F8" s="728">
        <v>74109.719465731454</v>
      </c>
      <c r="G8" s="727">
        <v>49052.82355549217</v>
      </c>
      <c r="H8" s="727">
        <v>49052.82355549217</v>
      </c>
      <c r="I8" s="727">
        <v>62312.046402770757</v>
      </c>
      <c r="J8" s="728">
        <v>49052.823555492178</v>
      </c>
      <c r="K8" s="727">
        <v>49052.823555492178</v>
      </c>
      <c r="L8" s="728">
        <v>64969.852414196837</v>
      </c>
      <c r="M8" s="727">
        <v>49052.823555492192</v>
      </c>
      <c r="N8" s="727">
        <v>49052.823555492192</v>
      </c>
      <c r="O8" s="730">
        <f t="shared" si="0"/>
        <v>656784.92249999999</v>
      </c>
    </row>
    <row r="9" spans="1:15" x14ac:dyDescent="0.2">
      <c r="A9" s="700" t="s">
        <v>150</v>
      </c>
      <c r="B9" s="712">
        <v>1.09E-2</v>
      </c>
      <c r="C9" s="727">
        <v>46065.825632863278</v>
      </c>
      <c r="D9" s="728">
        <v>35884.280319118436</v>
      </c>
      <c r="E9" s="727">
        <v>35884.280319118436</v>
      </c>
      <c r="F9" s="728">
        <v>54214.492763521666</v>
      </c>
      <c r="G9" s="727">
        <v>35884.280319118436</v>
      </c>
      <c r="H9" s="727">
        <v>35884.280319118436</v>
      </c>
      <c r="I9" s="727">
        <v>45583.980254375922</v>
      </c>
      <c r="J9" s="728">
        <v>35884.280319118443</v>
      </c>
      <c r="K9" s="727">
        <v>35884.280319118443</v>
      </c>
      <c r="L9" s="728">
        <v>47528.281296291651</v>
      </c>
      <c r="M9" s="727">
        <v>35884.28031911845</v>
      </c>
      <c r="N9" s="727">
        <v>35884.28031911845</v>
      </c>
      <c r="O9" s="730">
        <f t="shared" si="0"/>
        <v>480466.82250000013</v>
      </c>
    </row>
    <row r="10" spans="1:15" x14ac:dyDescent="0.2">
      <c r="A10" s="700" t="s">
        <v>288</v>
      </c>
      <c r="B10" s="712">
        <v>8.8200000000000001E-2</v>
      </c>
      <c r="C10" s="727">
        <v>372752.82759803126</v>
      </c>
      <c r="D10" s="728">
        <v>290366.37836204091</v>
      </c>
      <c r="E10" s="727">
        <v>290366.37836204091</v>
      </c>
      <c r="F10" s="728">
        <v>438689.74878372578</v>
      </c>
      <c r="G10" s="727">
        <v>290366.37836204091</v>
      </c>
      <c r="H10" s="727">
        <v>290366.37836204091</v>
      </c>
      <c r="I10" s="727">
        <v>368853.85857210611</v>
      </c>
      <c r="J10" s="728">
        <v>290366.37836204097</v>
      </c>
      <c r="K10" s="727">
        <v>290366.37836204097</v>
      </c>
      <c r="L10" s="728">
        <v>384586.6431498095</v>
      </c>
      <c r="M10" s="727">
        <v>290366.37836204102</v>
      </c>
      <c r="N10" s="727">
        <v>290366.37836204102</v>
      </c>
      <c r="O10" s="730">
        <f t="shared" si="0"/>
        <v>3887814.105</v>
      </c>
    </row>
    <row r="11" spans="1:15" x14ac:dyDescent="0.2">
      <c r="A11" s="700" t="s">
        <v>152</v>
      </c>
      <c r="B11" s="712">
        <v>6.6299999999999998E-2</v>
      </c>
      <c r="C11" s="727">
        <v>280198.55407879222</v>
      </c>
      <c r="D11" s="728">
        <v>218268.60414289468</v>
      </c>
      <c r="E11" s="727">
        <v>218268.60414289468</v>
      </c>
      <c r="F11" s="728">
        <v>329763.38258912717</v>
      </c>
      <c r="G11" s="727">
        <v>218268.60414289468</v>
      </c>
      <c r="H11" s="727">
        <v>218268.60414289468</v>
      </c>
      <c r="I11" s="727">
        <v>277267.69640964438</v>
      </c>
      <c r="J11" s="728">
        <v>218268.60414289474</v>
      </c>
      <c r="K11" s="727">
        <v>218268.60414289474</v>
      </c>
      <c r="L11" s="728">
        <v>289094.04127927852</v>
      </c>
      <c r="M11" s="727">
        <v>218268.60414289479</v>
      </c>
      <c r="N11" s="727">
        <v>218268.60414289479</v>
      </c>
      <c r="O11" s="730">
        <f t="shared" si="0"/>
        <v>2922472.5075000003</v>
      </c>
    </row>
    <row r="12" spans="1:15" x14ac:dyDescent="0.2">
      <c r="A12" s="700" t="s">
        <v>289</v>
      </c>
      <c r="B12" s="712">
        <v>3.2199999999999999E-2</v>
      </c>
      <c r="C12" s="727">
        <v>136084.36563102729</v>
      </c>
      <c r="D12" s="728">
        <v>106006.77305280858</v>
      </c>
      <c r="E12" s="727">
        <v>106006.77305280858</v>
      </c>
      <c r="F12" s="728">
        <v>160156.57495278877</v>
      </c>
      <c r="G12" s="727">
        <v>106006.77305280858</v>
      </c>
      <c r="H12" s="727">
        <v>106006.77305280858</v>
      </c>
      <c r="I12" s="727">
        <v>134660.93249457842</v>
      </c>
      <c r="J12" s="728">
        <v>106006.7730528086</v>
      </c>
      <c r="K12" s="727">
        <v>106006.7730528086</v>
      </c>
      <c r="L12" s="728">
        <v>140404.6474991368</v>
      </c>
      <c r="M12" s="727">
        <v>106006.77305280862</v>
      </c>
      <c r="N12" s="727">
        <v>106006.77305280862</v>
      </c>
      <c r="O12" s="730">
        <f t="shared" si="0"/>
        <v>1419360.7050000001</v>
      </c>
    </row>
    <row r="13" spans="1:15" x14ac:dyDescent="0.2">
      <c r="A13" s="700" t="s">
        <v>154</v>
      </c>
      <c r="B13" s="712">
        <v>1.11E-2</v>
      </c>
      <c r="C13" s="727">
        <v>46911.070139888296</v>
      </c>
      <c r="D13" s="728">
        <v>36542.707480937126</v>
      </c>
      <c r="E13" s="727">
        <v>36542.707480937126</v>
      </c>
      <c r="F13" s="728">
        <v>55209.254098632155</v>
      </c>
      <c r="G13" s="727">
        <v>36542.707480937126</v>
      </c>
      <c r="H13" s="727">
        <v>36542.707480937126</v>
      </c>
      <c r="I13" s="727">
        <v>46420.383561795665</v>
      </c>
      <c r="J13" s="728">
        <v>36542.707480937126</v>
      </c>
      <c r="K13" s="727">
        <v>36542.707480937126</v>
      </c>
      <c r="L13" s="728">
        <v>48400.359852186913</v>
      </c>
      <c r="M13" s="727">
        <v>36542.707480937141</v>
      </c>
      <c r="N13" s="727">
        <v>36542.707480937141</v>
      </c>
      <c r="O13" s="730">
        <f t="shared" si="0"/>
        <v>489282.7275000001</v>
      </c>
    </row>
    <row r="14" spans="1:15" x14ac:dyDescent="0.2">
      <c r="A14" s="700" t="s">
        <v>155</v>
      </c>
      <c r="B14" s="712">
        <v>2.7099999999999999E-2</v>
      </c>
      <c r="C14" s="727">
        <v>114530.63070188943</v>
      </c>
      <c r="D14" s="728">
        <v>89216.880426432064</v>
      </c>
      <c r="E14" s="727">
        <v>89216.880426432064</v>
      </c>
      <c r="F14" s="728">
        <v>134790.16090747129</v>
      </c>
      <c r="G14" s="727">
        <v>89216.880426432064</v>
      </c>
      <c r="H14" s="727">
        <v>89216.880426432064</v>
      </c>
      <c r="I14" s="727">
        <v>113332.64815537501</v>
      </c>
      <c r="J14" s="728">
        <v>89216.880426432079</v>
      </c>
      <c r="K14" s="727">
        <v>89216.880426432079</v>
      </c>
      <c r="L14" s="728">
        <v>118166.64432380768</v>
      </c>
      <c r="M14" s="727">
        <v>89216.880426432108</v>
      </c>
      <c r="N14" s="727">
        <v>89216.880426432108</v>
      </c>
      <c r="O14" s="730">
        <f t="shared" si="0"/>
        <v>1194555.1274999999</v>
      </c>
    </row>
    <row r="15" spans="1:15" x14ac:dyDescent="0.2">
      <c r="A15" s="700" t="s">
        <v>156</v>
      </c>
      <c r="B15" s="712">
        <v>1.6899999999999998E-2</v>
      </c>
      <c r="C15" s="727">
        <v>71423.160843613703</v>
      </c>
      <c r="D15" s="728">
        <v>55637.095173679038</v>
      </c>
      <c r="E15" s="727">
        <v>55637.095173679038</v>
      </c>
      <c r="F15" s="728">
        <v>84057.332816836337</v>
      </c>
      <c r="G15" s="727">
        <v>55637.095173679038</v>
      </c>
      <c r="H15" s="727">
        <v>55637.095173679038</v>
      </c>
      <c r="I15" s="727">
        <v>70676.079476968167</v>
      </c>
      <c r="J15" s="728">
        <v>55637.095173679045</v>
      </c>
      <c r="K15" s="727">
        <v>55637.095173679045</v>
      </c>
      <c r="L15" s="728">
        <v>73690.637973149423</v>
      </c>
      <c r="M15" s="727">
        <v>55637.095173679059</v>
      </c>
      <c r="N15" s="727">
        <v>55637.095173679059</v>
      </c>
      <c r="O15" s="730">
        <f t="shared" si="0"/>
        <v>744943.97250000003</v>
      </c>
    </row>
    <row r="16" spans="1:15" x14ac:dyDescent="0.2">
      <c r="A16" s="700" t="s">
        <v>157</v>
      </c>
      <c r="B16" s="712">
        <v>1.2699999999999999E-2</v>
      </c>
      <c r="C16" s="727">
        <v>53673.026196088402</v>
      </c>
      <c r="D16" s="728">
        <v>41810.124775486613</v>
      </c>
      <c r="E16" s="727">
        <v>41810.124775486613</v>
      </c>
      <c r="F16" s="728">
        <v>63167.344779516068</v>
      </c>
      <c r="G16" s="727">
        <v>41810.124775486613</v>
      </c>
      <c r="H16" s="727">
        <v>41810.124775486613</v>
      </c>
      <c r="I16" s="727">
        <v>53111.610021153596</v>
      </c>
      <c r="J16" s="728">
        <v>41810.12477548662</v>
      </c>
      <c r="K16" s="727">
        <v>41810.12477548662</v>
      </c>
      <c r="L16" s="728">
        <v>55376.988299348981</v>
      </c>
      <c r="M16" s="727">
        <v>41810.124775486634</v>
      </c>
      <c r="N16" s="727">
        <v>41810.124775486634</v>
      </c>
      <c r="O16" s="730">
        <f t="shared" si="0"/>
        <v>559809.96750000003</v>
      </c>
    </row>
    <row r="17" spans="1:15" x14ac:dyDescent="0.2">
      <c r="A17" s="700" t="s">
        <v>158</v>
      </c>
      <c r="B17" s="712">
        <v>3.39E-2</v>
      </c>
      <c r="C17" s="727">
        <v>143268.9439407399</v>
      </c>
      <c r="D17" s="728">
        <v>111603.40392826742</v>
      </c>
      <c r="E17" s="727">
        <v>111603.40392826742</v>
      </c>
      <c r="F17" s="728">
        <v>168612.04630122794</v>
      </c>
      <c r="G17" s="727">
        <v>111603.40392826742</v>
      </c>
      <c r="H17" s="727">
        <v>111603.40392826742</v>
      </c>
      <c r="I17" s="727">
        <v>141770.36060764623</v>
      </c>
      <c r="J17" s="728">
        <v>111603.40392826743</v>
      </c>
      <c r="K17" s="727">
        <v>111603.40392826743</v>
      </c>
      <c r="L17" s="728">
        <v>147817.3152242465</v>
      </c>
      <c r="M17" s="727">
        <v>111603.40392826746</v>
      </c>
      <c r="N17" s="727">
        <v>111603.40392826746</v>
      </c>
      <c r="O17" s="730">
        <f t="shared" si="0"/>
        <v>1494295.8975000002</v>
      </c>
    </row>
    <row r="18" spans="1:15" x14ac:dyDescent="0.2">
      <c r="A18" s="700" t="s">
        <v>159</v>
      </c>
      <c r="B18" s="712">
        <v>2.2100000000000002E-2</v>
      </c>
      <c r="C18" s="727">
        <v>93399.518026264079</v>
      </c>
      <c r="D18" s="728">
        <v>72756.201380964907</v>
      </c>
      <c r="E18" s="727">
        <v>72756.201380964907</v>
      </c>
      <c r="F18" s="728">
        <v>109921.12752970908</v>
      </c>
      <c r="G18" s="727">
        <v>72756.201380964907</v>
      </c>
      <c r="H18" s="727">
        <v>72756.201380964907</v>
      </c>
      <c r="I18" s="727">
        <v>92422.565469881461</v>
      </c>
      <c r="J18" s="728">
        <v>72756.201380964922</v>
      </c>
      <c r="K18" s="727">
        <v>72756.201380964922</v>
      </c>
      <c r="L18" s="728">
        <v>96364.680426426188</v>
      </c>
      <c r="M18" s="727">
        <v>72756.201380964936</v>
      </c>
      <c r="N18" s="727">
        <v>72756.201380964936</v>
      </c>
      <c r="O18" s="730">
        <f t="shared" si="0"/>
        <v>974157.50250000018</v>
      </c>
    </row>
    <row r="19" spans="1:15" x14ac:dyDescent="0.2">
      <c r="A19" s="700" t="s">
        <v>160</v>
      </c>
      <c r="B19" s="712">
        <v>3.95E-2</v>
      </c>
      <c r="C19" s="727">
        <v>166935.79013744032</v>
      </c>
      <c r="D19" s="728">
        <v>130039.36445919066</v>
      </c>
      <c r="E19" s="727">
        <v>130039.36445919066</v>
      </c>
      <c r="F19" s="728">
        <v>196465.36368432164</v>
      </c>
      <c r="G19" s="727">
        <v>130039.36445919066</v>
      </c>
      <c r="H19" s="727">
        <v>130039.36445919066</v>
      </c>
      <c r="I19" s="727">
        <v>165189.65321539898</v>
      </c>
      <c r="J19" s="728">
        <v>130039.36445919068</v>
      </c>
      <c r="K19" s="727">
        <v>130039.36445919068</v>
      </c>
      <c r="L19" s="728">
        <v>172235.51478931378</v>
      </c>
      <c r="M19" s="727">
        <v>130039.36445919071</v>
      </c>
      <c r="N19" s="727">
        <v>130039.36445919071</v>
      </c>
      <c r="O19" s="730">
        <f t="shared" si="0"/>
        <v>1741141.2375000003</v>
      </c>
    </row>
    <row r="20" spans="1:15" x14ac:dyDescent="0.2">
      <c r="A20" s="700" t="s">
        <v>290</v>
      </c>
      <c r="B20" s="712">
        <v>7.4999999999999997E-3</v>
      </c>
      <c r="C20" s="727">
        <v>31696.669013438033</v>
      </c>
      <c r="D20" s="728">
        <v>24691.018568200758</v>
      </c>
      <c r="E20" s="727">
        <v>24691.018568200758</v>
      </c>
      <c r="F20" s="728">
        <v>37303.550066643344</v>
      </c>
      <c r="G20" s="727">
        <v>24691.018568200758</v>
      </c>
      <c r="H20" s="727">
        <v>24691.018568200758</v>
      </c>
      <c r="I20" s="727">
        <v>31365.124028240312</v>
      </c>
      <c r="J20" s="728">
        <v>24691.018568200761</v>
      </c>
      <c r="K20" s="727">
        <v>24691.018568200761</v>
      </c>
      <c r="L20" s="728">
        <v>32702.945846072234</v>
      </c>
      <c r="M20" s="727">
        <v>24691.018568200769</v>
      </c>
      <c r="N20" s="727">
        <v>24691.018568200769</v>
      </c>
      <c r="O20" s="730">
        <f t="shared" si="0"/>
        <v>330596.4375</v>
      </c>
    </row>
    <row r="21" spans="1:15" x14ac:dyDescent="0.2">
      <c r="A21" s="700" t="s">
        <v>291</v>
      </c>
      <c r="B21" s="712">
        <v>2.2800000000000001E-2</v>
      </c>
      <c r="C21" s="727">
        <v>96357.873800851623</v>
      </c>
      <c r="D21" s="728">
        <v>75060.696447330309</v>
      </c>
      <c r="E21" s="727">
        <v>75060.696447330309</v>
      </c>
      <c r="F21" s="728">
        <v>113402.79220259578</v>
      </c>
      <c r="G21" s="727">
        <v>75060.696447330309</v>
      </c>
      <c r="H21" s="727">
        <v>75060.696447330309</v>
      </c>
      <c r="I21" s="727">
        <v>95349.977045850552</v>
      </c>
      <c r="J21" s="728">
        <v>75060.696447330323</v>
      </c>
      <c r="K21" s="727">
        <v>75060.696447330323</v>
      </c>
      <c r="L21" s="728">
        <v>99416.955372059601</v>
      </c>
      <c r="M21" s="727">
        <v>75060.696447330338</v>
      </c>
      <c r="N21" s="727">
        <v>75060.696447330338</v>
      </c>
      <c r="O21" s="730">
        <f t="shared" si="0"/>
        <v>1005013.1699999999</v>
      </c>
    </row>
    <row r="22" spans="1:15" x14ac:dyDescent="0.2">
      <c r="A22" s="700" t="s">
        <v>292</v>
      </c>
      <c r="B22" s="712">
        <v>8.8800000000000004E-2</v>
      </c>
      <c r="C22" s="727">
        <v>375288.56111910637</v>
      </c>
      <c r="D22" s="728">
        <v>292341.65984749701</v>
      </c>
      <c r="E22" s="727">
        <v>292341.65984749701</v>
      </c>
      <c r="F22" s="728">
        <v>441674.03278905724</v>
      </c>
      <c r="G22" s="727">
        <v>292341.65984749701</v>
      </c>
      <c r="H22" s="727">
        <v>292341.65984749701</v>
      </c>
      <c r="I22" s="727">
        <v>371363.06849436532</v>
      </c>
      <c r="J22" s="728">
        <v>292341.65984749701</v>
      </c>
      <c r="K22" s="727">
        <v>292341.65984749701</v>
      </c>
      <c r="L22" s="728">
        <v>387202.87881749531</v>
      </c>
      <c r="M22" s="727">
        <v>292341.65984749713</v>
      </c>
      <c r="N22" s="727">
        <v>292341.65984749713</v>
      </c>
      <c r="O22" s="730">
        <f t="shared" si="0"/>
        <v>3914261.8200000008</v>
      </c>
    </row>
    <row r="23" spans="1:15" x14ac:dyDescent="0.2">
      <c r="A23" s="700" t="s">
        <v>164</v>
      </c>
      <c r="B23" s="712">
        <v>3.9199999999999999E-2</v>
      </c>
      <c r="C23" s="727">
        <v>165667.92337690279</v>
      </c>
      <c r="D23" s="728">
        <v>129051.72371646263</v>
      </c>
      <c r="E23" s="727">
        <v>129051.72371646263</v>
      </c>
      <c r="F23" s="728">
        <v>194973.22168165588</v>
      </c>
      <c r="G23" s="727">
        <v>129051.72371646263</v>
      </c>
      <c r="H23" s="727">
        <v>129051.72371646263</v>
      </c>
      <c r="I23" s="727">
        <v>163935.04825426938</v>
      </c>
      <c r="J23" s="728">
        <v>129051.72371646264</v>
      </c>
      <c r="K23" s="727">
        <v>129051.72371646264</v>
      </c>
      <c r="L23" s="728">
        <v>170927.39695547087</v>
      </c>
      <c r="M23" s="727">
        <v>129051.72371646267</v>
      </c>
      <c r="N23" s="727">
        <v>129051.72371646267</v>
      </c>
      <c r="O23" s="730">
        <f t="shared" si="0"/>
        <v>1727917.3800000001</v>
      </c>
    </row>
    <row r="24" spans="1:15" x14ac:dyDescent="0.2">
      <c r="A24" s="700" t="s">
        <v>165</v>
      </c>
      <c r="B24" s="712">
        <v>0.35420000000000001</v>
      </c>
      <c r="C24" s="727">
        <v>1496928.0219413002</v>
      </c>
      <c r="D24" s="728">
        <v>1166074.5035808946</v>
      </c>
      <c r="E24" s="727">
        <v>1166074.5035808946</v>
      </c>
      <c r="F24" s="728">
        <v>1761722.3244806766</v>
      </c>
      <c r="G24" s="727">
        <v>1166074.5035808946</v>
      </c>
      <c r="H24" s="727">
        <v>1166074.5035808946</v>
      </c>
      <c r="I24" s="727">
        <v>1481270.2574403626</v>
      </c>
      <c r="J24" s="728">
        <v>1166074.5035808946</v>
      </c>
      <c r="K24" s="727">
        <v>1166074.5035808946</v>
      </c>
      <c r="L24" s="728">
        <v>1544451.1224905048</v>
      </c>
      <c r="M24" s="727">
        <v>1166074.503580895</v>
      </c>
      <c r="N24" s="727">
        <v>1166074.503580895</v>
      </c>
      <c r="O24" s="730">
        <f t="shared" si="0"/>
        <v>15612967.754999999</v>
      </c>
    </row>
    <row r="25" spans="1:15" x14ac:dyDescent="0.2">
      <c r="A25" s="700" t="s">
        <v>166</v>
      </c>
      <c r="B25" s="712">
        <v>0.03</v>
      </c>
      <c r="C25" s="727">
        <v>126786.67605375213</v>
      </c>
      <c r="D25" s="728">
        <v>98764.074272803031</v>
      </c>
      <c r="E25" s="727">
        <v>98764.074272803031</v>
      </c>
      <c r="F25" s="728">
        <v>149214.20026657337</v>
      </c>
      <c r="G25" s="727">
        <v>98764.074272803031</v>
      </c>
      <c r="H25" s="727">
        <v>98764.074272803031</v>
      </c>
      <c r="I25" s="727">
        <v>125460.49611296125</v>
      </c>
      <c r="J25" s="728">
        <v>98764.074272803045</v>
      </c>
      <c r="K25" s="727">
        <v>98764.074272803045</v>
      </c>
      <c r="L25" s="728">
        <v>130811.78338428894</v>
      </c>
      <c r="M25" s="727">
        <v>98764.074272803075</v>
      </c>
      <c r="N25" s="727">
        <v>98764.074272803075</v>
      </c>
      <c r="O25" s="730">
        <f t="shared" si="0"/>
        <v>1322385.75</v>
      </c>
    </row>
    <row r="26" spans="1:15" ht="13.5" thickBot="1" x14ac:dyDescent="0.25">
      <c r="A26" s="700" t="s">
        <v>167</v>
      </c>
      <c r="B26" s="713">
        <v>4.5199999999999997E-2</v>
      </c>
      <c r="C26" s="727">
        <v>191025.2585876532</v>
      </c>
      <c r="D26" s="728">
        <v>148804.53857102324</v>
      </c>
      <c r="E26" s="727">
        <v>148804.53857102324</v>
      </c>
      <c r="F26" s="728">
        <v>224816.06173497057</v>
      </c>
      <c r="G26" s="727">
        <v>148804.53857102324</v>
      </c>
      <c r="H26" s="727">
        <v>148804.53857102324</v>
      </c>
      <c r="I26" s="733">
        <v>189027.1474768616</v>
      </c>
      <c r="J26" s="728">
        <v>148804.53857102324</v>
      </c>
      <c r="K26" s="727">
        <v>148804.53857102324</v>
      </c>
      <c r="L26" s="728">
        <v>197089.75363232865</v>
      </c>
      <c r="M26" s="727">
        <v>148804.53857102329</v>
      </c>
      <c r="N26" s="727">
        <v>148804.53857102329</v>
      </c>
      <c r="O26" s="730">
        <f t="shared" si="0"/>
        <v>1992394.53</v>
      </c>
    </row>
    <row r="27" spans="1:15" ht="13.5" thickBot="1" x14ac:dyDescent="0.25">
      <c r="A27" s="705" t="s">
        <v>293</v>
      </c>
      <c r="B27" s="706">
        <f t="shared" ref="B27:N27" si="1">SUM(B7:B26)</f>
        <v>1</v>
      </c>
      <c r="C27" s="735">
        <f t="shared" si="1"/>
        <v>4226222.5351250712</v>
      </c>
      <c r="D27" s="735">
        <f t="shared" si="1"/>
        <v>3292135.8090934348</v>
      </c>
      <c r="E27" s="735">
        <f t="shared" si="1"/>
        <v>3292135.8090934348</v>
      </c>
      <c r="F27" s="735">
        <f t="shared" si="1"/>
        <v>4973806.6755524464</v>
      </c>
      <c r="G27" s="735">
        <f t="shared" si="1"/>
        <v>3292135.8090934348</v>
      </c>
      <c r="H27" s="735">
        <f t="shared" si="1"/>
        <v>3292135.8090934348</v>
      </c>
      <c r="I27" s="735">
        <f t="shared" si="1"/>
        <v>4182016.5370987086</v>
      </c>
      <c r="J27" s="735">
        <f t="shared" si="1"/>
        <v>3292135.8090934353</v>
      </c>
      <c r="K27" s="735">
        <f t="shared" si="1"/>
        <v>3292135.8090934353</v>
      </c>
      <c r="L27" s="735">
        <f t="shared" si="1"/>
        <v>4360392.779476299</v>
      </c>
      <c r="M27" s="735">
        <f t="shared" si="1"/>
        <v>3292135.8090934358</v>
      </c>
      <c r="N27" s="735">
        <f t="shared" si="1"/>
        <v>3292135.8090934358</v>
      </c>
      <c r="O27" s="735">
        <f t="shared" si="0"/>
        <v>44079525.000000007</v>
      </c>
    </row>
    <row r="28" spans="1:15" x14ac:dyDescent="0.2">
      <c r="A28" s="708"/>
      <c r="B28" s="708"/>
      <c r="C28" s="708"/>
      <c r="D28" s="708"/>
      <c r="E28" s="708"/>
      <c r="F28" s="708"/>
      <c r="G28" s="708"/>
      <c r="H28" s="708"/>
      <c r="I28" s="708"/>
      <c r="J28" s="708"/>
      <c r="K28" s="708"/>
      <c r="L28" s="708"/>
      <c r="M28" s="708"/>
      <c r="N28" s="708"/>
      <c r="O28" s="708"/>
    </row>
    <row r="29" spans="1:15" x14ac:dyDescent="0.2">
      <c r="A29" s="709" t="s">
        <v>294</v>
      </c>
    </row>
    <row r="31" spans="1:15" x14ac:dyDescent="0.2">
      <c r="A31" s="736" t="s">
        <v>415</v>
      </c>
      <c r="B31" s="736"/>
      <c r="C31" s="737">
        <v>8600323.0988253076</v>
      </c>
      <c r="D31" s="737">
        <v>3786233.6785449856</v>
      </c>
      <c r="E31" s="737">
        <v>3786233.6785449856</v>
      </c>
      <c r="F31" s="737">
        <v>11720443.310893985</v>
      </c>
      <c r="G31" s="737">
        <v>3786233.6785449856</v>
      </c>
      <c r="H31" s="737">
        <v>3786233.6785449856</v>
      </c>
      <c r="I31" s="737">
        <v>9839176.4232480656</v>
      </c>
      <c r="J31" s="737">
        <v>3786233.6785449856</v>
      </c>
      <c r="K31" s="737">
        <v>3786233.6785449856</v>
      </c>
      <c r="L31" s="737">
        <v>9543633.9136727657</v>
      </c>
      <c r="M31" s="737">
        <v>3786233.6785449856</v>
      </c>
      <c r="N31" s="737">
        <v>3786233.6785449856</v>
      </c>
      <c r="O31" s="737">
        <f>SUM(C31:N31)</f>
        <v>69993446.175000012</v>
      </c>
    </row>
    <row r="32" spans="1:15" x14ac:dyDescent="0.2">
      <c r="A32" s="961" t="s">
        <v>409</v>
      </c>
      <c r="B32" s="962"/>
      <c r="C32" s="737">
        <f t="shared" ref="C32:O32" si="2">C31-C27</f>
        <v>4374100.5637002364</v>
      </c>
      <c r="D32" s="737">
        <f t="shared" si="2"/>
        <v>494097.86945155077</v>
      </c>
      <c r="E32" s="737">
        <f t="shared" si="2"/>
        <v>494097.86945155077</v>
      </c>
      <c r="F32" s="737">
        <f t="shared" si="2"/>
        <v>6746636.6353415381</v>
      </c>
      <c r="G32" s="737">
        <f t="shared" si="2"/>
        <v>494097.86945155077</v>
      </c>
      <c r="H32" s="737">
        <f t="shared" si="2"/>
        <v>494097.86945155077</v>
      </c>
      <c r="I32" s="737">
        <f t="shared" si="2"/>
        <v>5657159.8861493571</v>
      </c>
      <c r="J32" s="737">
        <f t="shared" si="2"/>
        <v>494097.8694515503</v>
      </c>
      <c r="K32" s="737">
        <f t="shared" si="2"/>
        <v>494097.8694515503</v>
      </c>
      <c r="L32" s="737">
        <f t="shared" si="2"/>
        <v>5183241.1341964668</v>
      </c>
      <c r="M32" s="737">
        <f t="shared" si="2"/>
        <v>494097.86945154984</v>
      </c>
      <c r="N32" s="737">
        <f t="shared" si="2"/>
        <v>494097.86945154984</v>
      </c>
      <c r="O32" s="737">
        <f t="shared" si="2"/>
        <v>25913921.175000004</v>
      </c>
    </row>
  </sheetData>
  <mergeCells count="5">
    <mergeCell ref="A1:O1"/>
    <mergeCell ref="A2:O2"/>
    <mergeCell ref="A3:O3"/>
    <mergeCell ref="A4:O4"/>
    <mergeCell ref="A32:B32"/>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theme="4" tint="0.39997558519241921"/>
  </sheetPr>
  <dimension ref="A1:Q33"/>
  <sheetViews>
    <sheetView workbookViewId="0">
      <selection activeCell="G41" sqref="G41"/>
    </sheetView>
  </sheetViews>
  <sheetFormatPr baseColWidth="10" defaultRowHeight="12.75" x14ac:dyDescent="0.2"/>
  <cols>
    <col min="1" max="1" width="16.8554687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416</v>
      </c>
      <c r="B4" s="958"/>
      <c r="C4" s="958"/>
      <c r="D4" s="958"/>
      <c r="E4" s="958"/>
      <c r="F4" s="958"/>
      <c r="G4" s="958"/>
      <c r="H4" s="958"/>
      <c r="I4" s="958"/>
      <c r="J4" s="958"/>
      <c r="K4" s="958"/>
      <c r="L4" s="958"/>
      <c r="M4" s="958"/>
      <c r="N4" s="958"/>
      <c r="O4" s="958"/>
    </row>
    <row r="5" spans="1:15" ht="13.5" thickBot="1" x14ac:dyDescent="0.25"/>
    <row r="6" spans="1:15" ht="34.5" thickBot="1" x14ac:dyDescent="0.25">
      <c r="A6" s="696" t="s">
        <v>14</v>
      </c>
      <c r="B6" s="697" t="s">
        <v>417</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6">
        <v>3.1589689999999999</v>
      </c>
      <c r="C7" s="727">
        <f t="shared" ref="C7:C26" si="0">$C$32*B7/100</f>
        <v>49487.569592003689</v>
      </c>
      <c r="D7" s="728">
        <f t="shared" ref="D7:D26" si="1">$D$32*B7/100</f>
        <v>49987.097107952257</v>
      </c>
      <c r="E7" s="727">
        <f t="shared" ref="E7:E26" si="2">$E$32*B7/100</f>
        <v>30112.873538488253</v>
      </c>
      <c r="F7" s="728">
        <f t="shared" ref="F7:F26" si="3">$F$32*B7/100</f>
        <v>45260.099645168193</v>
      </c>
      <c r="G7" s="727">
        <f t="shared" ref="G7:G26" si="4">$G$32*B7/100</f>
        <v>35324.261531033699</v>
      </c>
      <c r="H7" s="727">
        <f t="shared" ref="H7:H26" si="5">$H$32*B7/100</f>
        <v>45263.973569863534</v>
      </c>
      <c r="I7" s="729">
        <f t="shared" ref="I7:I26" si="6">$I$32*B7/100</f>
        <v>34344.134353426532</v>
      </c>
      <c r="J7" s="728">
        <f t="shared" ref="J7:J26" si="7">$J$32*B7/100</f>
        <v>37587.581978728987</v>
      </c>
      <c r="K7" s="727">
        <f t="shared" ref="K7:K26" si="8">$K$32*B7/100</f>
        <v>39211.654630915633</v>
      </c>
      <c r="L7" s="728">
        <f t="shared" ref="L7:L26" si="9">$L$32*B7/100</f>
        <v>27817.594228389535</v>
      </c>
      <c r="M7" s="727">
        <f t="shared" ref="M7:M26" si="10">$M$32*B7/100</f>
        <v>35640.607055877183</v>
      </c>
      <c r="N7" s="727">
        <f t="shared" ref="N7:N26" si="11">$N$32*B7/100</f>
        <v>57223.573424771588</v>
      </c>
      <c r="O7" s="730">
        <f>SUM(C7:N7)</f>
        <v>487261.0206566191</v>
      </c>
    </row>
    <row r="8" spans="1:15" x14ac:dyDescent="0.2">
      <c r="A8" s="700" t="s">
        <v>149</v>
      </c>
      <c r="B8" s="731">
        <v>1.3507469999999999</v>
      </c>
      <c r="C8" s="727">
        <f t="shared" si="0"/>
        <v>21160.443854843212</v>
      </c>
      <c r="D8" s="728">
        <f t="shared" si="1"/>
        <v>21374.03737019109</v>
      </c>
      <c r="E8" s="727">
        <f t="shared" si="2"/>
        <v>12875.996438550803</v>
      </c>
      <c r="F8" s="728">
        <f t="shared" si="3"/>
        <v>19352.815369638636</v>
      </c>
      <c r="G8" s="727">
        <f t="shared" si="4"/>
        <v>15104.339514018397</v>
      </c>
      <c r="H8" s="727">
        <f t="shared" si="5"/>
        <v>19354.471825324166</v>
      </c>
      <c r="I8" s="727">
        <f t="shared" si="6"/>
        <v>14685.245865181909</v>
      </c>
      <c r="J8" s="728">
        <f t="shared" si="7"/>
        <v>16072.115172710543</v>
      </c>
      <c r="K8" s="727">
        <f t="shared" si="8"/>
        <v>16766.554169333536</v>
      </c>
      <c r="L8" s="728">
        <f t="shared" si="9"/>
        <v>11894.555455028039</v>
      </c>
      <c r="M8" s="727">
        <f t="shared" si="10"/>
        <v>15239.606042004507</v>
      </c>
      <c r="N8" s="727">
        <f t="shared" si="11"/>
        <v>24468.290170872187</v>
      </c>
      <c r="O8" s="730">
        <f t="shared" ref="O8:O26" si="12">SUM(C8:N8)</f>
        <v>208348.47124769702</v>
      </c>
    </row>
    <row r="9" spans="1:15" x14ac:dyDescent="0.2">
      <c r="A9" s="700" t="s">
        <v>150</v>
      </c>
      <c r="B9" s="731">
        <v>1.0034289999999999</v>
      </c>
      <c r="C9" s="727">
        <f t="shared" si="0"/>
        <v>15719.452285899188</v>
      </c>
      <c r="D9" s="728">
        <f t="shared" si="1"/>
        <v>15878.124433615974</v>
      </c>
      <c r="E9" s="727">
        <f t="shared" si="2"/>
        <v>9565.1874335746015</v>
      </c>
      <c r="F9" s="728">
        <f t="shared" si="3"/>
        <v>14376.619880363331</v>
      </c>
      <c r="G9" s="727">
        <f t="shared" si="4"/>
        <v>11220.555954750937</v>
      </c>
      <c r="H9" s="727">
        <f t="shared" si="5"/>
        <v>14377.850411078611</v>
      </c>
      <c r="I9" s="727">
        <f t="shared" si="6"/>
        <v>10909.223987359303</v>
      </c>
      <c r="J9" s="728">
        <f t="shared" si="7"/>
        <v>11939.487154617234</v>
      </c>
      <c r="K9" s="727">
        <f t="shared" si="8"/>
        <v>12455.364834110445</v>
      </c>
      <c r="L9" s="728">
        <f t="shared" si="9"/>
        <v>8836.1046781398236</v>
      </c>
      <c r="M9" s="727">
        <f t="shared" si="10"/>
        <v>11321.04135794678</v>
      </c>
      <c r="N9" s="727">
        <f t="shared" si="11"/>
        <v>18176.751040622788</v>
      </c>
      <c r="O9" s="730">
        <f t="shared" si="12"/>
        <v>154775.76345207903</v>
      </c>
    </row>
    <row r="10" spans="1:15" x14ac:dyDescent="0.2">
      <c r="A10" s="700" t="s">
        <v>288</v>
      </c>
      <c r="B10" s="731">
        <v>12.721731</v>
      </c>
      <c r="C10" s="727">
        <f t="shared" si="0"/>
        <v>199295.26000199773</v>
      </c>
      <c r="D10" s="728">
        <f t="shared" si="1"/>
        <v>201306.94631009252</v>
      </c>
      <c r="E10" s="727">
        <f t="shared" si="2"/>
        <v>121269.90698347015</v>
      </c>
      <c r="F10" s="728">
        <f t="shared" si="3"/>
        <v>182270.48531309591</v>
      </c>
      <c r="G10" s="727">
        <f t="shared" si="4"/>
        <v>142257.09494821221</v>
      </c>
      <c r="H10" s="727">
        <f t="shared" si="5"/>
        <v>182286.08629806549</v>
      </c>
      <c r="I10" s="727">
        <f t="shared" si="6"/>
        <v>138309.94817364504</v>
      </c>
      <c r="J10" s="728">
        <f t="shared" si="7"/>
        <v>151371.88964938815</v>
      </c>
      <c r="K10" s="727">
        <f t="shared" si="8"/>
        <v>157912.31958256412</v>
      </c>
      <c r="L10" s="728">
        <f t="shared" si="9"/>
        <v>112026.40824924974</v>
      </c>
      <c r="M10" s="727">
        <f t="shared" si="10"/>
        <v>143531.07474038887</v>
      </c>
      <c r="N10" s="727">
        <f t="shared" si="11"/>
        <v>230449.52576891161</v>
      </c>
      <c r="O10" s="730">
        <f t="shared" si="12"/>
        <v>1962286.9460190814</v>
      </c>
    </row>
    <row r="11" spans="1:15" x14ac:dyDescent="0.2">
      <c r="A11" s="700" t="s">
        <v>152</v>
      </c>
      <c r="B11" s="731">
        <v>6.3943099999999999</v>
      </c>
      <c r="C11" s="727">
        <f t="shared" si="0"/>
        <v>100171.56265789412</v>
      </c>
      <c r="D11" s="728">
        <f t="shared" si="1"/>
        <v>101182.69438805831</v>
      </c>
      <c r="E11" s="727">
        <f t="shared" si="2"/>
        <v>60953.76320435269</v>
      </c>
      <c r="F11" s="728">
        <f t="shared" si="3"/>
        <v>91614.418426421864</v>
      </c>
      <c r="G11" s="727">
        <f t="shared" si="4"/>
        <v>71502.530968333071</v>
      </c>
      <c r="H11" s="727">
        <f t="shared" si="5"/>
        <v>91622.259932754678</v>
      </c>
      <c r="I11" s="727">
        <f t="shared" si="6"/>
        <v>69518.580820976335</v>
      </c>
      <c r="J11" s="728">
        <f t="shared" si="7"/>
        <v>76083.890447296755</v>
      </c>
      <c r="K11" s="727">
        <f t="shared" si="8"/>
        <v>79371.29972564154</v>
      </c>
      <c r="L11" s="728">
        <f t="shared" si="9"/>
        <v>56307.713355380649</v>
      </c>
      <c r="M11" s="727">
        <f t="shared" si="10"/>
        <v>72142.870064082934</v>
      </c>
      <c r="N11" s="727">
        <f t="shared" si="11"/>
        <v>115830.59782661723</v>
      </c>
      <c r="O11" s="730">
        <f t="shared" si="12"/>
        <v>986302.18181781017</v>
      </c>
    </row>
    <row r="12" spans="1:15" x14ac:dyDescent="0.2">
      <c r="A12" s="700" t="s">
        <v>289</v>
      </c>
      <c r="B12" s="731">
        <v>3.5996779999999999</v>
      </c>
      <c r="C12" s="727">
        <f t="shared" si="0"/>
        <v>56391.59976998972</v>
      </c>
      <c r="D12" s="728">
        <f t="shared" si="1"/>
        <v>56960.816564948676</v>
      </c>
      <c r="E12" s="727">
        <f t="shared" si="2"/>
        <v>34313.932296669678</v>
      </c>
      <c r="F12" s="728">
        <f t="shared" si="3"/>
        <v>51574.353838394658</v>
      </c>
      <c r="G12" s="727">
        <f t="shared" si="4"/>
        <v>40252.3630651356</v>
      </c>
      <c r="H12" s="727">
        <f t="shared" si="5"/>
        <v>51578.768215838529</v>
      </c>
      <c r="I12" s="727">
        <f t="shared" si="6"/>
        <v>39135.497961858346</v>
      </c>
      <c r="J12" s="728">
        <f t="shared" si="7"/>
        <v>42831.44023319862</v>
      </c>
      <c r="K12" s="727">
        <f t="shared" si="8"/>
        <v>44682.087895925892</v>
      </c>
      <c r="L12" s="728">
        <f t="shared" si="9"/>
        <v>31698.437672816915</v>
      </c>
      <c r="M12" s="727">
        <f t="shared" si="10"/>
        <v>40612.842077806352</v>
      </c>
      <c r="N12" s="727">
        <f t="shared" si="11"/>
        <v>65206.856521395093</v>
      </c>
      <c r="O12" s="730">
        <f t="shared" si="12"/>
        <v>555238.99611397809</v>
      </c>
    </row>
    <row r="13" spans="1:15" x14ac:dyDescent="0.2">
      <c r="A13" s="700" t="s">
        <v>154</v>
      </c>
      <c r="B13" s="731">
        <v>1.068033</v>
      </c>
      <c r="C13" s="727">
        <f t="shared" si="0"/>
        <v>16731.521396397518</v>
      </c>
      <c r="D13" s="728">
        <f t="shared" si="1"/>
        <v>16900.409369480225</v>
      </c>
      <c r="E13" s="727">
        <f t="shared" si="2"/>
        <v>10181.025095191573</v>
      </c>
      <c r="F13" s="728">
        <f t="shared" si="3"/>
        <v>15302.233103372624</v>
      </c>
      <c r="G13" s="727">
        <f t="shared" si="4"/>
        <v>11942.971588443737</v>
      </c>
      <c r="H13" s="727">
        <f t="shared" si="5"/>
        <v>15303.542859629853</v>
      </c>
      <c r="I13" s="727">
        <f t="shared" si="6"/>
        <v>11611.595063418856</v>
      </c>
      <c r="J13" s="728">
        <f t="shared" si="7"/>
        <v>12708.189901036654</v>
      </c>
      <c r="K13" s="727">
        <f t="shared" si="8"/>
        <v>13257.28145177136</v>
      </c>
      <c r="L13" s="728">
        <f t="shared" si="9"/>
        <v>9405.0016370941157</v>
      </c>
      <c r="M13" s="727">
        <f t="shared" si="10"/>
        <v>12049.926566455597</v>
      </c>
      <c r="N13" s="727">
        <f t="shared" si="11"/>
        <v>19347.028981790918</v>
      </c>
      <c r="O13" s="730">
        <f t="shared" si="12"/>
        <v>164740.72701408301</v>
      </c>
    </row>
    <row r="14" spans="1:15" x14ac:dyDescent="0.2">
      <c r="A14" s="700" t="s">
        <v>155</v>
      </c>
      <c r="B14" s="731">
        <v>2.4906649999999999</v>
      </c>
      <c r="C14" s="727">
        <f t="shared" si="0"/>
        <v>39018.096574505122</v>
      </c>
      <c r="D14" s="728">
        <f t="shared" si="1"/>
        <v>39411.945232250742</v>
      </c>
      <c r="E14" s="727">
        <f t="shared" si="2"/>
        <v>23742.265331422641</v>
      </c>
      <c r="F14" s="728">
        <f t="shared" si="3"/>
        <v>35684.980157365528</v>
      </c>
      <c r="G14" s="727">
        <f t="shared" si="4"/>
        <v>27851.144422813915</v>
      </c>
      <c r="H14" s="727">
        <f t="shared" si="5"/>
        <v>35688.034523727249</v>
      </c>
      <c r="I14" s="727">
        <f t="shared" si="6"/>
        <v>27078.3706295874</v>
      </c>
      <c r="J14" s="728">
        <f t="shared" si="7"/>
        <v>29635.64215699839</v>
      </c>
      <c r="K14" s="727">
        <f t="shared" si="8"/>
        <v>30916.12984531013</v>
      </c>
      <c r="L14" s="728">
        <f t="shared" si="9"/>
        <v>21932.569876074063</v>
      </c>
      <c r="M14" s="727">
        <f t="shared" si="10"/>
        <v>28100.564637648022</v>
      </c>
      <c r="N14" s="727">
        <f t="shared" si="11"/>
        <v>45117.48975821185</v>
      </c>
      <c r="O14" s="730">
        <f t="shared" si="12"/>
        <v>384177.23314591497</v>
      </c>
    </row>
    <row r="15" spans="1:15" x14ac:dyDescent="0.2">
      <c r="A15" s="700" t="s">
        <v>156</v>
      </c>
      <c r="B15" s="731">
        <v>1.5731759999999999</v>
      </c>
      <c r="C15" s="727">
        <f t="shared" si="0"/>
        <v>24644.957510019882</v>
      </c>
      <c r="D15" s="728">
        <f t="shared" si="1"/>
        <v>24893.723705392451</v>
      </c>
      <c r="E15" s="727">
        <f t="shared" si="2"/>
        <v>14996.300989906767</v>
      </c>
      <c r="F15" s="728">
        <f t="shared" si="3"/>
        <v>22539.664846153002</v>
      </c>
      <c r="G15" s="727">
        <f t="shared" si="4"/>
        <v>17591.587780173049</v>
      </c>
      <c r="H15" s="727">
        <f t="shared" si="5"/>
        <v>22541.594072225344</v>
      </c>
      <c r="I15" s="727">
        <f t="shared" si="6"/>
        <v>17103.481517414744</v>
      </c>
      <c r="J15" s="728">
        <f t="shared" si="7"/>
        <v>18718.728125210775</v>
      </c>
      <c r="K15" s="727">
        <f t="shared" si="8"/>
        <v>19527.521158215019</v>
      </c>
      <c r="L15" s="728">
        <f t="shared" si="9"/>
        <v>13853.245035909164</v>
      </c>
      <c r="M15" s="727">
        <f t="shared" si="10"/>
        <v>17749.128796685451</v>
      </c>
      <c r="N15" s="727">
        <f t="shared" si="11"/>
        <v>28497.510531470383</v>
      </c>
      <c r="O15" s="730">
        <f t="shared" si="12"/>
        <v>242657.44406877604</v>
      </c>
    </row>
    <row r="16" spans="1:15" x14ac:dyDescent="0.2">
      <c r="A16" s="700" t="s">
        <v>157</v>
      </c>
      <c r="B16" s="731">
        <v>1.2120569999999999</v>
      </c>
      <c r="C16" s="727">
        <f t="shared" si="0"/>
        <v>18987.763139484818</v>
      </c>
      <c r="D16" s="728">
        <f t="shared" si="1"/>
        <v>19179.425616197335</v>
      </c>
      <c r="E16" s="727">
        <f t="shared" si="2"/>
        <v>11553.933945676406</v>
      </c>
      <c r="F16" s="728">
        <f t="shared" si="3"/>
        <v>17365.735654773322</v>
      </c>
      <c r="G16" s="727">
        <f t="shared" si="4"/>
        <v>13553.478511033225</v>
      </c>
      <c r="H16" s="727">
        <f t="shared" si="5"/>
        <v>17367.222031355192</v>
      </c>
      <c r="I16" s="727">
        <f t="shared" si="6"/>
        <v>13177.415939191267</v>
      </c>
      <c r="J16" s="728">
        <f t="shared" si="7"/>
        <v>14421.886333924875</v>
      </c>
      <c r="K16" s="727">
        <f t="shared" si="8"/>
        <v>15045.022751721752</v>
      </c>
      <c r="L16" s="728">
        <f t="shared" si="9"/>
        <v>10673.263905938657</v>
      </c>
      <c r="M16" s="727">
        <f t="shared" si="10"/>
        <v>13674.856342789475</v>
      </c>
      <c r="N16" s="727">
        <f t="shared" si="11"/>
        <v>21955.971310420704</v>
      </c>
      <c r="O16" s="730">
        <f t="shared" si="12"/>
        <v>186955.97548250703</v>
      </c>
    </row>
    <row r="17" spans="1:17" x14ac:dyDescent="0.2">
      <c r="A17" s="700" t="s">
        <v>158</v>
      </c>
      <c r="B17" s="731">
        <v>2.870412</v>
      </c>
      <c r="C17" s="727">
        <f t="shared" si="0"/>
        <v>44967.112246977573</v>
      </c>
      <c r="D17" s="728">
        <f t="shared" si="1"/>
        <v>45421.010267537116</v>
      </c>
      <c r="E17" s="727">
        <f t="shared" si="2"/>
        <v>27362.203794769477</v>
      </c>
      <c r="F17" s="728">
        <f t="shared" si="3"/>
        <v>41125.801849491567</v>
      </c>
      <c r="G17" s="727">
        <f t="shared" si="4"/>
        <v>32097.555939870734</v>
      </c>
      <c r="H17" s="727">
        <f t="shared" si="5"/>
        <v>41129.321909337865</v>
      </c>
      <c r="I17" s="727">
        <f t="shared" si="6"/>
        <v>31206.958782339352</v>
      </c>
      <c r="J17" s="728">
        <f t="shared" si="7"/>
        <v>34154.132681494324</v>
      </c>
      <c r="K17" s="727">
        <f t="shared" si="8"/>
        <v>35629.853915133644</v>
      </c>
      <c r="L17" s="728">
        <f t="shared" si="9"/>
        <v>25276.587482909788</v>
      </c>
      <c r="M17" s="727">
        <f t="shared" si="10"/>
        <v>32385.004784939178</v>
      </c>
      <c r="N17" s="727">
        <f t="shared" si="11"/>
        <v>51996.468417811469</v>
      </c>
      <c r="O17" s="730">
        <f t="shared" si="12"/>
        <v>442752.01207261207</v>
      </c>
    </row>
    <row r="18" spans="1:17" x14ac:dyDescent="0.2">
      <c r="A18" s="700" t="s">
        <v>159</v>
      </c>
      <c r="B18" s="731">
        <v>2.0950000000000002</v>
      </c>
      <c r="C18" s="727">
        <f t="shared" si="0"/>
        <v>32819.71374054248</v>
      </c>
      <c r="D18" s="728">
        <f t="shared" si="1"/>
        <v>33150.995923404123</v>
      </c>
      <c r="E18" s="727">
        <f t="shared" si="2"/>
        <v>19970.588525285591</v>
      </c>
      <c r="F18" s="728">
        <f t="shared" si="3"/>
        <v>30016.09346487014</v>
      </c>
      <c r="G18" s="727">
        <f t="shared" si="4"/>
        <v>23426.734452764689</v>
      </c>
      <c r="H18" s="727">
        <f t="shared" si="5"/>
        <v>30018.662617095677</v>
      </c>
      <c r="I18" s="727">
        <f t="shared" si="6"/>
        <v>22776.72287079379</v>
      </c>
      <c r="J18" s="728">
        <f t="shared" si="7"/>
        <v>24927.74833986571</v>
      </c>
      <c r="K18" s="727">
        <f t="shared" si="8"/>
        <v>26004.818803783219</v>
      </c>
      <c r="L18" s="728">
        <f t="shared" si="9"/>
        <v>18448.379806346969</v>
      </c>
      <c r="M18" s="727">
        <f t="shared" si="10"/>
        <v>23636.531976750233</v>
      </c>
      <c r="N18" s="727">
        <f t="shared" si="11"/>
        <v>37950.162323497476</v>
      </c>
      <c r="O18" s="730">
        <f t="shared" si="12"/>
        <v>323147.15284500009</v>
      </c>
    </row>
    <row r="19" spans="1:17" x14ac:dyDescent="0.2">
      <c r="A19" s="700" t="s">
        <v>160</v>
      </c>
      <c r="B19" s="731">
        <v>3.7237200000000001</v>
      </c>
      <c r="C19" s="727">
        <f t="shared" si="0"/>
        <v>58334.808806650515</v>
      </c>
      <c r="D19" s="728">
        <f t="shared" si="1"/>
        <v>58923.640353173447</v>
      </c>
      <c r="E19" s="727">
        <f t="shared" si="2"/>
        <v>35496.362722375401</v>
      </c>
      <c r="F19" s="728">
        <f t="shared" si="3"/>
        <v>53351.564466351432</v>
      </c>
      <c r="G19" s="727">
        <f t="shared" si="4"/>
        <v>41639.427024557961</v>
      </c>
      <c r="H19" s="727">
        <f t="shared" si="5"/>
        <v>53356.130959680908</v>
      </c>
      <c r="I19" s="727">
        <f t="shared" si="6"/>
        <v>40484.075650802981</v>
      </c>
      <c r="J19" s="728">
        <f t="shared" si="7"/>
        <v>44307.377111276721</v>
      </c>
      <c r="K19" s="727">
        <f t="shared" si="8"/>
        <v>46221.796599533947</v>
      </c>
      <c r="L19" s="728">
        <f t="shared" si="9"/>
        <v>32790.740263718537</v>
      </c>
      <c r="M19" s="727">
        <f t="shared" si="10"/>
        <v>42012.327853204952</v>
      </c>
      <c r="N19" s="727">
        <f t="shared" si="11"/>
        <v>67453.832194393326</v>
      </c>
      <c r="O19" s="730">
        <f t="shared" si="12"/>
        <v>574372.08400572021</v>
      </c>
    </row>
    <row r="20" spans="1:17" x14ac:dyDescent="0.2">
      <c r="A20" s="700" t="s">
        <v>290</v>
      </c>
      <c r="B20" s="731">
        <v>0.63494300000000004</v>
      </c>
      <c r="C20" s="727">
        <f t="shared" si="0"/>
        <v>9946.8484494325839</v>
      </c>
      <c r="D20" s="728">
        <f t="shared" si="1"/>
        <v>10047.251935367056</v>
      </c>
      <c r="E20" s="727">
        <f t="shared" si="2"/>
        <v>6052.5944582388584</v>
      </c>
      <c r="F20" s="728">
        <f t="shared" si="3"/>
        <v>9097.1400634200691</v>
      </c>
      <c r="G20" s="727">
        <f t="shared" si="4"/>
        <v>7100.0673287072887</v>
      </c>
      <c r="H20" s="727">
        <f t="shared" si="5"/>
        <v>9097.9187103038566</v>
      </c>
      <c r="I20" s="727">
        <f t="shared" si="6"/>
        <v>6903.0647970169075</v>
      </c>
      <c r="J20" s="728">
        <f t="shared" si="7"/>
        <v>7554.9877394555397</v>
      </c>
      <c r="K20" s="727">
        <f t="shared" si="8"/>
        <v>7881.4213201577695</v>
      </c>
      <c r="L20" s="728">
        <f t="shared" si="9"/>
        <v>5591.2504149791703</v>
      </c>
      <c r="M20" s="727">
        <f t="shared" si="10"/>
        <v>7163.6518009134707</v>
      </c>
      <c r="N20" s="727">
        <f t="shared" si="11"/>
        <v>11501.761296500457</v>
      </c>
      <c r="O20" s="730">
        <f t="shared" si="12"/>
        <v>97937.958314493007</v>
      </c>
    </row>
    <row r="21" spans="1:17" x14ac:dyDescent="0.2">
      <c r="A21" s="700" t="s">
        <v>291</v>
      </c>
      <c r="B21" s="731">
        <v>1.9878070000000001</v>
      </c>
      <c r="C21" s="727">
        <f t="shared" si="0"/>
        <v>31140.456664174955</v>
      </c>
      <c r="D21" s="728">
        <f t="shared" si="1"/>
        <v>31454.788426498406</v>
      </c>
      <c r="E21" s="727">
        <f t="shared" si="2"/>
        <v>18948.771200325715</v>
      </c>
      <c r="F21" s="728">
        <f t="shared" si="3"/>
        <v>28480.286731323682</v>
      </c>
      <c r="G21" s="727">
        <f t="shared" si="4"/>
        <v>22228.079585845735</v>
      </c>
      <c r="H21" s="727">
        <f t="shared" si="5"/>
        <v>28482.724430024391</v>
      </c>
      <c r="I21" s="727">
        <f t="shared" si="6"/>
        <v>21611.326567839613</v>
      </c>
      <c r="J21" s="728">
        <f t="shared" si="7"/>
        <v>23652.292431610233</v>
      </c>
      <c r="K21" s="727">
        <f t="shared" si="8"/>
        <v>24674.253389924535</v>
      </c>
      <c r="L21" s="728">
        <f t="shared" si="9"/>
        <v>17504.447979816297</v>
      </c>
      <c r="M21" s="727">
        <f t="shared" si="10"/>
        <v>22427.142586686368</v>
      </c>
      <c r="N21" s="727">
        <f t="shared" si="11"/>
        <v>36008.400151687129</v>
      </c>
      <c r="O21" s="730">
        <f t="shared" si="12"/>
        <v>306612.97014575708</v>
      </c>
    </row>
    <row r="22" spans="1:17" x14ac:dyDescent="0.2">
      <c r="A22" s="700" t="s">
        <v>292</v>
      </c>
      <c r="B22" s="731">
        <v>8.2824609999999996</v>
      </c>
      <c r="C22" s="727">
        <f t="shared" si="0"/>
        <v>129750.83488649508</v>
      </c>
      <c r="D22" s="728">
        <f t="shared" si="1"/>
        <v>131060.53978365325</v>
      </c>
      <c r="E22" s="727">
        <f t="shared" si="2"/>
        <v>78952.563535907117</v>
      </c>
      <c r="F22" s="728">
        <f t="shared" si="3"/>
        <v>118666.88472321804</v>
      </c>
      <c r="G22" s="727">
        <f t="shared" si="4"/>
        <v>92616.236020229044</v>
      </c>
      <c r="H22" s="727">
        <f t="shared" si="5"/>
        <v>118677.04171754312</v>
      </c>
      <c r="I22" s="727">
        <f t="shared" si="6"/>
        <v>90046.452928476167</v>
      </c>
      <c r="J22" s="728">
        <f t="shared" si="7"/>
        <v>98550.40737124224</v>
      </c>
      <c r="K22" s="727">
        <f t="shared" si="8"/>
        <v>102808.54298539432</v>
      </c>
      <c r="L22" s="728">
        <f t="shared" si="9"/>
        <v>72934.599646423056</v>
      </c>
      <c r="M22" s="727">
        <f t="shared" si="10"/>
        <v>93445.658364050905</v>
      </c>
      <c r="N22" s="727">
        <f t="shared" si="11"/>
        <v>150033.76581767882</v>
      </c>
      <c r="O22" s="730">
        <f t="shared" si="12"/>
        <v>1277543.5277803109</v>
      </c>
    </row>
    <row r="23" spans="1:17" x14ac:dyDescent="0.2">
      <c r="A23" s="700" t="s">
        <v>164</v>
      </c>
      <c r="B23" s="731">
        <v>3.36294</v>
      </c>
      <c r="C23" s="727">
        <f t="shared" si="0"/>
        <v>52682.925120104977</v>
      </c>
      <c r="D23" s="728">
        <f t="shared" si="1"/>
        <v>53214.706554010809</v>
      </c>
      <c r="E23" s="727">
        <f t="shared" si="2"/>
        <v>32057.227195810941</v>
      </c>
      <c r="F23" s="728">
        <f t="shared" si="3"/>
        <v>48182.492294391595</v>
      </c>
      <c r="G23" s="727">
        <f t="shared" si="4"/>
        <v>37605.108525336742</v>
      </c>
      <c r="H23" s="727">
        <f t="shared" si="5"/>
        <v>48186.616353954996</v>
      </c>
      <c r="I23" s="727">
        <f t="shared" si="6"/>
        <v>36561.695661626378</v>
      </c>
      <c r="J23" s="728">
        <f t="shared" si="7"/>
        <v>40014.568974734124</v>
      </c>
      <c r="K23" s="727">
        <f t="shared" si="8"/>
        <v>41743.506132694376</v>
      </c>
      <c r="L23" s="728">
        <f t="shared" si="9"/>
        <v>29613.74433697206</v>
      </c>
      <c r="M23" s="727">
        <f t="shared" si="10"/>
        <v>37941.880117371082</v>
      </c>
      <c r="N23" s="727">
        <f t="shared" si="11"/>
        <v>60918.433834932017</v>
      </c>
      <c r="O23" s="730">
        <f t="shared" si="12"/>
        <v>518722.90510194004</v>
      </c>
    </row>
    <row r="24" spans="1:17" x14ac:dyDescent="0.2">
      <c r="A24" s="700" t="s">
        <v>165</v>
      </c>
      <c r="B24" s="738">
        <v>35.020363000000003</v>
      </c>
      <c r="C24" s="727">
        <f t="shared" si="0"/>
        <v>548619.70823383552</v>
      </c>
      <c r="D24" s="728">
        <f t="shared" si="1"/>
        <v>554157.47544111335</v>
      </c>
      <c r="E24" s="727">
        <f t="shared" si="2"/>
        <v>333831.62743634178</v>
      </c>
      <c r="F24" s="728">
        <f t="shared" si="3"/>
        <v>501753.93268815277</v>
      </c>
      <c r="G24" s="727">
        <f t="shared" si="4"/>
        <v>391605.12861118175</v>
      </c>
      <c r="H24" s="727">
        <f t="shared" si="5"/>
        <v>501796.8790573845</v>
      </c>
      <c r="I24" s="727">
        <f t="shared" si="6"/>
        <v>380739.42858501227</v>
      </c>
      <c r="J24" s="728">
        <f t="shared" si="7"/>
        <v>416696.32249868475</v>
      </c>
      <c r="K24" s="727">
        <f t="shared" si="8"/>
        <v>434700.80871489929</v>
      </c>
      <c r="L24" s="728">
        <f t="shared" si="9"/>
        <v>308386.13726975681</v>
      </c>
      <c r="M24" s="727">
        <f t="shared" si="10"/>
        <v>395112.13837083563</v>
      </c>
      <c r="N24" s="727">
        <f t="shared" si="11"/>
        <v>634381.12671971601</v>
      </c>
      <c r="O24" s="730">
        <f t="shared" si="12"/>
        <v>5401780.7136269147</v>
      </c>
      <c r="Q24" s="704"/>
    </row>
    <row r="25" spans="1:17" x14ac:dyDescent="0.2">
      <c r="A25" s="700" t="s">
        <v>166</v>
      </c>
      <c r="B25" s="738">
        <v>2.5879509999999999</v>
      </c>
      <c r="C25" s="727">
        <f t="shared" si="0"/>
        <v>40542.153219355918</v>
      </c>
      <c r="D25" s="728">
        <f t="shared" si="1"/>
        <v>40951.3857045201</v>
      </c>
      <c r="E25" s="727">
        <f t="shared" si="2"/>
        <v>24669.644174034063</v>
      </c>
      <c r="F25" s="728">
        <f t="shared" si="3"/>
        <v>37078.8444384268</v>
      </c>
      <c r="G25" s="727">
        <f t="shared" si="4"/>
        <v>28939.017113969843</v>
      </c>
      <c r="H25" s="727">
        <f t="shared" si="5"/>
        <v>37082.018109105185</v>
      </c>
      <c r="I25" s="727">
        <f t="shared" si="6"/>
        <v>28136.058582431338</v>
      </c>
      <c r="J25" s="728">
        <f t="shared" si="7"/>
        <v>30793.217777519716</v>
      </c>
      <c r="K25" s="727">
        <f t="shared" si="8"/>
        <v>32123.721636310056</v>
      </c>
      <c r="L25" s="728">
        <f t="shared" si="9"/>
        <v>22789.261560007366</v>
      </c>
      <c r="M25" s="727">
        <f t="shared" si="10"/>
        <v>29198.17974499414</v>
      </c>
      <c r="N25" s="727">
        <f t="shared" si="11"/>
        <v>46879.790231626539</v>
      </c>
      <c r="O25" s="730">
        <f t="shared" si="12"/>
        <v>399183.29229230102</v>
      </c>
      <c r="Q25" s="704"/>
    </row>
    <row r="26" spans="1:17" ht="13.5" thickBot="1" x14ac:dyDescent="0.25">
      <c r="A26" s="700" t="s">
        <v>167</v>
      </c>
      <c r="B26" s="732">
        <v>4.8616080000000004</v>
      </c>
      <c r="C26" s="727">
        <f t="shared" si="0"/>
        <v>76160.66008531324</v>
      </c>
      <c r="D26" s="728">
        <f t="shared" si="1"/>
        <v>76929.425770495873</v>
      </c>
      <c r="E26" s="727">
        <f t="shared" si="2"/>
        <v>46343.28063925376</v>
      </c>
      <c r="F26" s="728">
        <f t="shared" si="3"/>
        <v>69654.644447522864</v>
      </c>
      <c r="G26" s="727">
        <f t="shared" si="4"/>
        <v>54363.532042690422</v>
      </c>
      <c r="H26" s="727">
        <f t="shared" si="5"/>
        <v>69660.606362087477</v>
      </c>
      <c r="I26" s="733">
        <f t="shared" si="6"/>
        <v>52855.130368703605</v>
      </c>
      <c r="J26" s="728">
        <f t="shared" si="7"/>
        <v>57846.74976185101</v>
      </c>
      <c r="K26" s="727">
        <f t="shared" si="8"/>
        <v>60346.174288793758</v>
      </c>
      <c r="L26" s="728">
        <f t="shared" si="9"/>
        <v>42810.878689057223</v>
      </c>
      <c r="M26" s="727">
        <f t="shared" si="10"/>
        <v>54850.383269892474</v>
      </c>
      <c r="N26" s="727">
        <f t="shared" si="11"/>
        <v>88066.259070746484</v>
      </c>
      <c r="O26" s="730">
        <f t="shared" si="12"/>
        <v>749887.72479640809</v>
      </c>
    </row>
    <row r="27" spans="1:17" ht="13.5" thickBot="1" x14ac:dyDescent="0.25">
      <c r="A27" s="705" t="s">
        <v>293</v>
      </c>
      <c r="B27" s="734">
        <f t="shared" ref="B27:O27" si="13">SUM(B7:B26)</f>
        <v>100.00000000000001</v>
      </c>
      <c r="C27" s="735">
        <f t="shared" si="13"/>
        <v>1566573.4482359178</v>
      </c>
      <c r="D27" s="735">
        <f t="shared" si="13"/>
        <v>1582386.440257953</v>
      </c>
      <c r="E27" s="735">
        <f t="shared" si="13"/>
        <v>953250.04893964622</v>
      </c>
      <c r="F27" s="735">
        <f t="shared" si="13"/>
        <v>1432749.091401916</v>
      </c>
      <c r="G27" s="735">
        <f t="shared" si="13"/>
        <v>1118221.214929102</v>
      </c>
      <c r="H27" s="735">
        <f t="shared" si="13"/>
        <v>1432871.7239663806</v>
      </c>
      <c r="I27" s="735">
        <f t="shared" si="13"/>
        <v>1087194.4091071021</v>
      </c>
      <c r="J27" s="735">
        <f t="shared" si="13"/>
        <v>1189868.6558408455</v>
      </c>
      <c r="K27" s="735">
        <f t="shared" si="13"/>
        <v>1241280.1338321343</v>
      </c>
      <c r="L27" s="735">
        <f t="shared" si="13"/>
        <v>880590.92154400796</v>
      </c>
      <c r="M27" s="735">
        <f t="shared" si="13"/>
        <v>1128235.4165513234</v>
      </c>
      <c r="N27" s="735">
        <f t="shared" si="13"/>
        <v>1811463.595393674</v>
      </c>
      <c r="O27" s="735">
        <f t="shared" si="13"/>
        <v>15424685.100000003</v>
      </c>
    </row>
    <row r="28" spans="1:17" x14ac:dyDescent="0.2">
      <c r="A28" s="708"/>
      <c r="B28" s="708"/>
      <c r="C28" s="708"/>
      <c r="D28" s="708"/>
      <c r="E28" s="708"/>
      <c r="F28" s="708"/>
      <c r="G28" s="708"/>
      <c r="H28" s="708"/>
      <c r="I28" s="708"/>
      <c r="J28" s="708"/>
      <c r="K28" s="708"/>
      <c r="L28" s="708"/>
      <c r="M28" s="708"/>
      <c r="N28" s="708"/>
      <c r="O28" s="708"/>
    </row>
    <row r="29" spans="1:17" x14ac:dyDescent="0.2">
      <c r="A29" s="709" t="s">
        <v>294</v>
      </c>
    </row>
    <row r="30" spans="1:17" x14ac:dyDescent="0.2">
      <c r="A30" s="739" t="s">
        <v>409</v>
      </c>
      <c r="B30" s="739"/>
      <c r="C30" s="739">
        <v>1566573.4482359178</v>
      </c>
      <c r="D30" s="739">
        <v>1582386.440257953</v>
      </c>
      <c r="E30" s="739">
        <v>953250.04893964622</v>
      </c>
      <c r="F30" s="739">
        <v>1432749.091401916</v>
      </c>
      <c r="G30" s="739">
        <v>1118221.214929102</v>
      </c>
      <c r="H30" s="739">
        <v>1432871.7239663806</v>
      </c>
      <c r="I30" s="739">
        <v>1087194.4091071021</v>
      </c>
      <c r="J30" s="739">
        <v>1189868.6558408453</v>
      </c>
      <c r="K30" s="739">
        <v>1241280.1338321343</v>
      </c>
      <c r="L30" s="739">
        <v>880590.92154400796</v>
      </c>
      <c r="M30" s="739">
        <v>1128235.4165513236</v>
      </c>
      <c r="N30" s="739">
        <v>1811463.595393674</v>
      </c>
      <c r="O30" s="739">
        <v>15424685.100000009</v>
      </c>
    </row>
    <row r="32" spans="1:17" x14ac:dyDescent="0.2">
      <c r="C32" s="739">
        <v>1566573.4482359178</v>
      </c>
      <c r="D32" s="739">
        <v>1582386.440257953</v>
      </c>
      <c r="E32" s="739">
        <v>953250.04893964622</v>
      </c>
      <c r="F32" s="739">
        <v>1432749.091401916</v>
      </c>
      <c r="G32" s="739">
        <v>1118221.214929102</v>
      </c>
      <c r="H32" s="739">
        <v>1432871.7239663806</v>
      </c>
      <c r="I32" s="739">
        <v>1087194.4091071021</v>
      </c>
      <c r="J32" s="739">
        <v>1189868.6558408453</v>
      </c>
      <c r="K32" s="739">
        <v>1241280.1338321343</v>
      </c>
      <c r="L32" s="739">
        <v>880590.92154400796</v>
      </c>
      <c r="M32" s="739">
        <v>1128235.4165513236</v>
      </c>
      <c r="N32" s="739">
        <v>1811463.595393674</v>
      </c>
      <c r="O32" s="739">
        <v>15424685.100000009</v>
      </c>
    </row>
    <row r="33" spans="1:1" x14ac:dyDescent="0.2">
      <c r="A33" s="695" t="s">
        <v>406</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8" tint="0.39997558519241921"/>
  </sheetPr>
  <dimension ref="A1:Q31"/>
  <sheetViews>
    <sheetView workbookViewId="0">
      <selection activeCell="G41" sqref="G41"/>
    </sheetView>
  </sheetViews>
  <sheetFormatPr baseColWidth="10" defaultRowHeight="12.75" x14ac:dyDescent="0.2"/>
  <cols>
    <col min="1" max="1" width="16.85546875" style="695" customWidth="1"/>
    <col min="2" max="2" width="9.28515625" style="695" bestFit="1" customWidth="1"/>
    <col min="3" max="14" width="11.7109375" style="695" bestFit="1" customWidth="1"/>
    <col min="15" max="15" width="13"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416</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3.6499999999999998E-2</v>
      </c>
      <c r="C7" s="727">
        <v>108515.59232688899</v>
      </c>
      <c r="D7" s="728">
        <v>109186.11860558472</v>
      </c>
      <c r="E7" s="727">
        <v>124058.65010120287</v>
      </c>
      <c r="F7" s="728">
        <v>119027.88731383004</v>
      </c>
      <c r="G7" s="727">
        <v>127038.63635508782</v>
      </c>
      <c r="H7" s="727">
        <v>122051.48316272711</v>
      </c>
      <c r="I7" s="729">
        <v>126529.47708009076</v>
      </c>
      <c r="J7" s="728">
        <v>125596.10193680914</v>
      </c>
      <c r="K7" s="727">
        <v>119822.41502762708</v>
      </c>
      <c r="L7" s="728">
        <v>126138.19845114372</v>
      </c>
      <c r="M7" s="727">
        <v>121486.08657087667</v>
      </c>
      <c r="N7" s="727">
        <v>89422.97806813092</v>
      </c>
      <c r="O7" s="730">
        <f>SUM(C7:N7)</f>
        <v>1418873.625</v>
      </c>
    </row>
    <row r="8" spans="1:15" x14ac:dyDescent="0.2">
      <c r="A8" s="700" t="s">
        <v>149</v>
      </c>
      <c r="B8" s="712">
        <v>1.49E-2</v>
      </c>
      <c r="C8" s="727">
        <v>44298.145908784827</v>
      </c>
      <c r="D8" s="728">
        <v>44571.867595156502</v>
      </c>
      <c r="E8" s="727">
        <v>50643.120178299265</v>
      </c>
      <c r="F8" s="728">
        <v>48589.466328111448</v>
      </c>
      <c r="G8" s="727">
        <v>51859.607717556399</v>
      </c>
      <c r="H8" s="727">
        <v>49823.756140400932</v>
      </c>
      <c r="I8" s="727">
        <v>51651.759136804176</v>
      </c>
      <c r="J8" s="728">
        <v>51270.737502971402</v>
      </c>
      <c r="K8" s="727">
        <v>48913.807778401198</v>
      </c>
      <c r="L8" s="728">
        <v>51492.03169649429</v>
      </c>
      <c r="M8" s="727">
        <v>49592.950408385273</v>
      </c>
      <c r="N8" s="727">
        <v>36504.174608634268</v>
      </c>
      <c r="O8" s="730">
        <f t="shared" ref="O8:O26" si="0">SUM(C8:N8)</f>
        <v>579211.42500000005</v>
      </c>
    </row>
    <row r="9" spans="1:15" x14ac:dyDescent="0.2">
      <c r="A9" s="700" t="s">
        <v>150</v>
      </c>
      <c r="B9" s="712">
        <v>1.09E-2</v>
      </c>
      <c r="C9" s="727">
        <v>32406.026201728495</v>
      </c>
      <c r="D9" s="728">
        <v>32606.265556188315</v>
      </c>
      <c r="E9" s="727">
        <v>37047.651674057852</v>
      </c>
      <c r="F9" s="728">
        <v>35545.314293719115</v>
      </c>
      <c r="G9" s="727">
        <v>37937.565377272804</v>
      </c>
      <c r="H9" s="727">
        <v>36448.251136266452</v>
      </c>
      <c r="I9" s="727">
        <v>37785.515073232586</v>
      </c>
      <c r="J9" s="728">
        <v>37506.781126334783</v>
      </c>
      <c r="K9" s="727">
        <v>35782.584213729737</v>
      </c>
      <c r="L9" s="728">
        <v>37668.667482670317</v>
      </c>
      <c r="M9" s="727">
        <v>36279.406674590566</v>
      </c>
      <c r="N9" s="727">
        <v>26704.396190208961</v>
      </c>
      <c r="O9" s="730">
        <f t="shared" si="0"/>
        <v>423718.42499999999</v>
      </c>
    </row>
    <row r="10" spans="1:15" x14ac:dyDescent="0.2">
      <c r="A10" s="700" t="s">
        <v>288</v>
      </c>
      <c r="B10" s="712">
        <v>8.8200000000000001E-2</v>
      </c>
      <c r="C10" s="727">
        <v>262221.23954059207</v>
      </c>
      <c r="D10" s="728">
        <v>263841.52495924855</v>
      </c>
      <c r="E10" s="727">
        <v>299780.08051852317</v>
      </c>
      <c r="F10" s="728">
        <v>287623.55235835095</v>
      </c>
      <c r="G10" s="727">
        <v>306981.03360325331</v>
      </c>
      <c r="H10" s="727">
        <v>294929.88534116524</v>
      </c>
      <c r="I10" s="727">
        <v>305750.68160175357</v>
      </c>
      <c r="J10" s="728">
        <v>303495.23810483742</v>
      </c>
      <c r="K10" s="727">
        <v>289543.47960100573</v>
      </c>
      <c r="L10" s="728">
        <v>304805.18091481854</v>
      </c>
      <c r="M10" s="727">
        <v>293563.6393301732</v>
      </c>
      <c r="N10" s="727">
        <v>216085.114126278</v>
      </c>
      <c r="O10" s="730">
        <f t="shared" si="0"/>
        <v>3428620.65</v>
      </c>
    </row>
    <row r="11" spans="1:15" x14ac:dyDescent="0.2">
      <c r="A11" s="700" t="s">
        <v>152</v>
      </c>
      <c r="B11" s="712">
        <v>6.6299999999999998E-2</v>
      </c>
      <c r="C11" s="727">
        <v>197111.88414445863</v>
      </c>
      <c r="D11" s="728">
        <v>198329.85379589771</v>
      </c>
      <c r="E11" s="727">
        <v>225344.8904578014</v>
      </c>
      <c r="F11" s="728">
        <v>216206.81997005295</v>
      </c>
      <c r="G11" s="727">
        <v>230757.8517902006</v>
      </c>
      <c r="H11" s="727">
        <v>221698.99544352895</v>
      </c>
      <c r="I11" s="727">
        <v>229832.99535369911</v>
      </c>
      <c r="J11" s="728">
        <v>228137.57694275194</v>
      </c>
      <c r="K11" s="727">
        <v>217650.03058442948</v>
      </c>
      <c r="L11" s="728">
        <v>229122.2618441323</v>
      </c>
      <c r="M11" s="727">
        <v>220671.98738764721</v>
      </c>
      <c r="N11" s="727">
        <v>162431.32728539946</v>
      </c>
      <c r="O11" s="730">
        <f t="shared" si="0"/>
        <v>2577296.4750000001</v>
      </c>
    </row>
    <row r="12" spans="1:15" x14ac:dyDescent="0.2">
      <c r="A12" s="700" t="s">
        <v>289</v>
      </c>
      <c r="B12" s="712">
        <v>3.2199999999999999E-2</v>
      </c>
      <c r="C12" s="727">
        <v>95731.563641803441</v>
      </c>
      <c r="D12" s="728">
        <v>96323.096413693915</v>
      </c>
      <c r="E12" s="727">
        <v>109443.52145914338</v>
      </c>
      <c r="F12" s="728">
        <v>105005.42387685829</v>
      </c>
      <c r="G12" s="727">
        <v>112072.44083928295</v>
      </c>
      <c r="H12" s="727">
        <v>107672.81528328254</v>
      </c>
      <c r="I12" s="727">
        <v>111623.26471175131</v>
      </c>
      <c r="J12" s="728">
        <v>110799.84883192478</v>
      </c>
      <c r="K12" s="727">
        <v>105706.34969560527</v>
      </c>
      <c r="L12" s="728">
        <v>111278.08192128297</v>
      </c>
      <c r="M12" s="727">
        <v>107174.02705704737</v>
      </c>
      <c r="N12" s="727">
        <v>78888.216268323711</v>
      </c>
      <c r="O12" s="730">
        <f t="shared" si="0"/>
        <v>1251718.6499999999</v>
      </c>
    </row>
    <row r="13" spans="1:15" x14ac:dyDescent="0.2">
      <c r="A13" s="700" t="s">
        <v>154</v>
      </c>
      <c r="B13" s="712">
        <v>1.11E-2</v>
      </c>
      <c r="C13" s="727">
        <v>33000.632187081312</v>
      </c>
      <c r="D13" s="728">
        <v>33204.545658136725</v>
      </c>
      <c r="E13" s="727">
        <v>37727.425099269924</v>
      </c>
      <c r="F13" s="728">
        <v>36197.521895438731</v>
      </c>
      <c r="G13" s="727">
        <v>38633.667494286979</v>
      </c>
      <c r="H13" s="727">
        <v>37117.026386473175</v>
      </c>
      <c r="I13" s="727">
        <v>38478.827276411168</v>
      </c>
      <c r="J13" s="728">
        <v>38194.978945166622</v>
      </c>
      <c r="K13" s="727">
        <v>36439.145391963313</v>
      </c>
      <c r="L13" s="728">
        <v>38359.835693361521</v>
      </c>
      <c r="M13" s="727">
        <v>36945.083861280305</v>
      </c>
      <c r="N13" s="727">
        <v>27194.385111130228</v>
      </c>
      <c r="O13" s="730">
        <f t="shared" si="0"/>
        <v>431493.07500000001</v>
      </c>
    </row>
    <row r="14" spans="1:15" x14ac:dyDescent="0.2">
      <c r="A14" s="700" t="s">
        <v>155</v>
      </c>
      <c r="B14" s="712">
        <v>2.7099999999999999E-2</v>
      </c>
      <c r="C14" s="727">
        <v>80569.111015306626</v>
      </c>
      <c r="D14" s="728">
        <v>81066.953814009481</v>
      </c>
      <c r="E14" s="727">
        <v>92109.299116235561</v>
      </c>
      <c r="F14" s="728">
        <v>88374.13003300807</v>
      </c>
      <c r="G14" s="727">
        <v>94321.836855421367</v>
      </c>
      <c r="H14" s="727">
        <v>90619.046403011089</v>
      </c>
      <c r="I14" s="727">
        <v>93943.803530697522</v>
      </c>
      <c r="J14" s="728">
        <v>93250.804451713091</v>
      </c>
      <c r="K14" s="727">
        <v>88964.039650649152</v>
      </c>
      <c r="L14" s="728">
        <v>93653.292548657395</v>
      </c>
      <c r="M14" s="727">
        <v>90199.258796459122</v>
      </c>
      <c r="N14" s="727">
        <v>66393.498784831449</v>
      </c>
      <c r="O14" s="730">
        <f t="shared" si="0"/>
        <v>1053465.075</v>
      </c>
    </row>
    <row r="15" spans="1:15" x14ac:dyDescent="0.2">
      <c r="A15" s="700" t="s">
        <v>156</v>
      </c>
      <c r="B15" s="712">
        <v>1.6899999999999998E-2</v>
      </c>
      <c r="C15" s="727">
        <v>50244.20576231298</v>
      </c>
      <c r="D15" s="728">
        <v>50554.668614640592</v>
      </c>
      <c r="E15" s="727">
        <v>57440.85443041996</v>
      </c>
      <c r="F15" s="728">
        <v>55111.542345307607</v>
      </c>
      <c r="G15" s="727">
        <v>58820.628887698193</v>
      </c>
      <c r="H15" s="727">
        <v>56511.508642468165</v>
      </c>
      <c r="I15" s="727">
        <v>58584.881168589964</v>
      </c>
      <c r="J15" s="728">
        <v>58152.715691289712</v>
      </c>
      <c r="K15" s="727">
        <v>55479.419560736926</v>
      </c>
      <c r="L15" s="728">
        <v>58403.713803406266</v>
      </c>
      <c r="M15" s="727">
        <v>56249.72227528262</v>
      </c>
      <c r="N15" s="727">
        <v>41404.063817846916</v>
      </c>
      <c r="O15" s="730">
        <f t="shared" si="0"/>
        <v>656957.92499999993</v>
      </c>
    </row>
    <row r="16" spans="1:15" x14ac:dyDescent="0.2">
      <c r="A16" s="700" t="s">
        <v>157</v>
      </c>
      <c r="B16" s="712">
        <v>1.2699999999999999E-2</v>
      </c>
      <c r="C16" s="727">
        <v>37757.480069903839</v>
      </c>
      <c r="D16" s="728">
        <v>37990.786473723994</v>
      </c>
      <c r="E16" s="727">
        <v>43165.612500966483</v>
      </c>
      <c r="F16" s="728">
        <v>41415.182709195658</v>
      </c>
      <c r="G16" s="727">
        <v>44202.484430400422</v>
      </c>
      <c r="H16" s="727">
        <v>42467.228388126969</v>
      </c>
      <c r="I16" s="727">
        <v>44025.324901839798</v>
      </c>
      <c r="J16" s="728">
        <v>43700.561495821261</v>
      </c>
      <c r="K16" s="727">
        <v>41691.634817831895</v>
      </c>
      <c r="L16" s="728">
        <v>43889.181378891102</v>
      </c>
      <c r="M16" s="727">
        <v>42270.501354798187</v>
      </c>
      <c r="N16" s="727">
        <v>31114.296478500346</v>
      </c>
      <c r="O16" s="730">
        <f t="shared" si="0"/>
        <v>493690.27500000002</v>
      </c>
    </row>
    <row r="17" spans="1:17" x14ac:dyDescent="0.2">
      <c r="A17" s="700" t="s">
        <v>158</v>
      </c>
      <c r="B17" s="712">
        <v>3.39E-2</v>
      </c>
      <c r="C17" s="727">
        <v>100785.71451730239</v>
      </c>
      <c r="D17" s="728">
        <v>101408.47728025539</v>
      </c>
      <c r="E17" s="727">
        <v>115221.59557344597</v>
      </c>
      <c r="F17" s="728">
        <v>110549.18849147504</v>
      </c>
      <c r="G17" s="727">
        <v>117989.30883390349</v>
      </c>
      <c r="H17" s="727">
        <v>113357.4049100397</v>
      </c>
      <c r="I17" s="727">
        <v>117516.41843876924</v>
      </c>
      <c r="J17" s="728">
        <v>116649.53029199534</v>
      </c>
      <c r="K17" s="727">
        <v>111287.11971059065</v>
      </c>
      <c r="L17" s="728">
        <v>117153.01171215814</v>
      </c>
      <c r="M17" s="727">
        <v>112832.28314391011</v>
      </c>
      <c r="N17" s="727">
        <v>83053.122096154475</v>
      </c>
      <c r="O17" s="730">
        <f t="shared" si="0"/>
        <v>1317803.175</v>
      </c>
    </row>
    <row r="18" spans="1:17" x14ac:dyDescent="0.2">
      <c r="A18" s="700" t="s">
        <v>159</v>
      </c>
      <c r="B18" s="712">
        <v>2.2100000000000002E-2</v>
      </c>
      <c r="C18" s="727">
        <v>65703.961381486224</v>
      </c>
      <c r="D18" s="728">
        <v>66109.951265299242</v>
      </c>
      <c r="E18" s="727">
        <v>75114.963485933811</v>
      </c>
      <c r="F18" s="728">
        <v>72068.93999001765</v>
      </c>
      <c r="G18" s="727">
        <v>76919.283930066871</v>
      </c>
      <c r="H18" s="727">
        <v>73899.665147842999</v>
      </c>
      <c r="I18" s="727">
        <v>76610.998451233041</v>
      </c>
      <c r="J18" s="728">
        <v>76045.858980917328</v>
      </c>
      <c r="K18" s="727">
        <v>72550.010194809831</v>
      </c>
      <c r="L18" s="728">
        <v>76374.087281377448</v>
      </c>
      <c r="M18" s="727">
        <v>73557.329129215752</v>
      </c>
      <c r="N18" s="727">
        <v>54143.775761799821</v>
      </c>
      <c r="O18" s="730">
        <f t="shared" si="0"/>
        <v>859098.82499999995</v>
      </c>
    </row>
    <row r="19" spans="1:17" x14ac:dyDescent="0.2">
      <c r="A19" s="700" t="s">
        <v>160</v>
      </c>
      <c r="B19" s="712">
        <v>3.95E-2</v>
      </c>
      <c r="C19" s="727">
        <v>117434.68210718124</v>
      </c>
      <c r="D19" s="728">
        <v>118160.32013481087</v>
      </c>
      <c r="E19" s="727">
        <v>134255.25147938394</v>
      </c>
      <c r="F19" s="728">
        <v>128811.0013396243</v>
      </c>
      <c r="G19" s="727">
        <v>137480.16811030052</v>
      </c>
      <c r="H19" s="727">
        <v>132083.11191582796</v>
      </c>
      <c r="I19" s="727">
        <v>136929.16012776946</v>
      </c>
      <c r="J19" s="728">
        <v>135919.06921928661</v>
      </c>
      <c r="K19" s="727">
        <v>129670.8327011307</v>
      </c>
      <c r="L19" s="728">
        <v>136505.72161151172</v>
      </c>
      <c r="M19" s="727">
        <v>131471.24437122271</v>
      </c>
      <c r="N19" s="727">
        <v>96772.811881949907</v>
      </c>
      <c r="O19" s="730">
        <f t="shared" si="0"/>
        <v>1535493.375</v>
      </c>
    </row>
    <row r="20" spans="1:17" x14ac:dyDescent="0.2">
      <c r="A20" s="700" t="s">
        <v>290</v>
      </c>
      <c r="B20" s="712">
        <v>7.4999999999999997E-3</v>
      </c>
      <c r="C20" s="727">
        <v>22297.724450730617</v>
      </c>
      <c r="D20" s="728">
        <v>22435.503823065352</v>
      </c>
      <c r="E20" s="727">
        <v>25491.503445452647</v>
      </c>
      <c r="F20" s="728">
        <v>24457.785064485626</v>
      </c>
      <c r="G20" s="727">
        <v>26103.829388031743</v>
      </c>
      <c r="H20" s="727">
        <v>25079.071882752145</v>
      </c>
      <c r="I20" s="727">
        <v>25999.207619196732</v>
      </c>
      <c r="J20" s="728">
        <v>25807.418206193659</v>
      </c>
      <c r="K20" s="727">
        <v>24621.04418375899</v>
      </c>
      <c r="L20" s="728">
        <v>25918.807900919943</v>
      </c>
      <c r="M20" s="727">
        <v>24962.89450086507</v>
      </c>
      <c r="N20" s="727">
        <v>18374.584534547448</v>
      </c>
      <c r="O20" s="730">
        <f t="shared" si="0"/>
        <v>291549.375</v>
      </c>
    </row>
    <row r="21" spans="1:17" x14ac:dyDescent="0.2">
      <c r="A21" s="700" t="s">
        <v>291</v>
      </c>
      <c r="B21" s="712">
        <v>2.2800000000000001E-2</v>
      </c>
      <c r="C21" s="727">
        <v>67785.082330221077</v>
      </c>
      <c r="D21" s="728">
        <v>68203.931622118675</v>
      </c>
      <c r="E21" s="727">
        <v>77494.170474176048</v>
      </c>
      <c r="F21" s="728">
        <v>74351.666596036303</v>
      </c>
      <c r="G21" s="727">
        <v>79355.641339616501</v>
      </c>
      <c r="H21" s="727">
        <v>76240.378523566527</v>
      </c>
      <c r="I21" s="727">
        <v>79037.591162358076</v>
      </c>
      <c r="J21" s="728">
        <v>78454.551346828724</v>
      </c>
      <c r="K21" s="727">
        <v>74847.974318627341</v>
      </c>
      <c r="L21" s="728">
        <v>78793.176018796628</v>
      </c>
      <c r="M21" s="727">
        <v>75887.199282629823</v>
      </c>
      <c r="N21" s="727">
        <v>55858.736985024247</v>
      </c>
      <c r="O21" s="730">
        <f t="shared" si="0"/>
        <v>886310.10000000009</v>
      </c>
    </row>
    <row r="22" spans="1:17" x14ac:dyDescent="0.2">
      <c r="A22" s="700" t="s">
        <v>292</v>
      </c>
      <c r="B22" s="712">
        <v>8.8800000000000004E-2</v>
      </c>
      <c r="C22" s="727">
        <v>264005.05749665049</v>
      </c>
      <c r="D22" s="728">
        <v>265636.3652650938</v>
      </c>
      <c r="E22" s="727">
        <v>301819.40079415939</v>
      </c>
      <c r="F22" s="728">
        <v>289580.17516350985</v>
      </c>
      <c r="G22" s="727">
        <v>309069.33995429584</v>
      </c>
      <c r="H22" s="727">
        <v>296936.2110917854</v>
      </c>
      <c r="I22" s="727">
        <v>307830.61821128934</v>
      </c>
      <c r="J22" s="728">
        <v>305559.83156133298</v>
      </c>
      <c r="K22" s="727">
        <v>291513.16313570651</v>
      </c>
      <c r="L22" s="728">
        <v>306878.68554689217</v>
      </c>
      <c r="M22" s="727">
        <v>295560.67089024244</v>
      </c>
      <c r="N22" s="727">
        <v>217555.08088904183</v>
      </c>
      <c r="O22" s="730">
        <f t="shared" si="0"/>
        <v>3451944.6</v>
      </c>
    </row>
    <row r="23" spans="1:17" x14ac:dyDescent="0.2">
      <c r="A23" s="700" t="s">
        <v>164</v>
      </c>
      <c r="B23" s="712">
        <v>3.9199999999999999E-2</v>
      </c>
      <c r="C23" s="727">
        <v>116542.77312915202</v>
      </c>
      <c r="D23" s="728">
        <v>117262.89998188824</v>
      </c>
      <c r="E23" s="727">
        <v>133235.59134156583</v>
      </c>
      <c r="F23" s="728">
        <v>127832.68993704488</v>
      </c>
      <c r="G23" s="727">
        <v>136436.01493477923</v>
      </c>
      <c r="H23" s="727">
        <v>131079.94904051788</v>
      </c>
      <c r="I23" s="727">
        <v>135889.19182300157</v>
      </c>
      <c r="J23" s="728">
        <v>134886.77249103886</v>
      </c>
      <c r="K23" s="727">
        <v>128685.99093378033</v>
      </c>
      <c r="L23" s="728">
        <v>135468.9692954749</v>
      </c>
      <c r="M23" s="727">
        <v>130472.72859118809</v>
      </c>
      <c r="N23" s="727">
        <v>96037.828500568008</v>
      </c>
      <c r="O23" s="730">
        <f t="shared" si="0"/>
        <v>1523831.4</v>
      </c>
    </row>
    <row r="24" spans="1:17" x14ac:dyDescent="0.2">
      <c r="A24" s="700" t="s">
        <v>165</v>
      </c>
      <c r="B24" s="714">
        <v>0.35420000000000001</v>
      </c>
      <c r="C24" s="727">
        <v>1053047.2000598379</v>
      </c>
      <c r="D24" s="728">
        <v>1059554.0605506331</v>
      </c>
      <c r="E24" s="727">
        <v>1203878.7360505771</v>
      </c>
      <c r="F24" s="728">
        <v>1155059.6626454412</v>
      </c>
      <c r="G24" s="727">
        <v>1232796.8492321125</v>
      </c>
      <c r="H24" s="727">
        <v>1184400.9681161081</v>
      </c>
      <c r="I24" s="727">
        <v>1227855.9118292644</v>
      </c>
      <c r="J24" s="728">
        <v>1218798.3371511726</v>
      </c>
      <c r="K24" s="727">
        <v>1162769.846651658</v>
      </c>
      <c r="L24" s="728">
        <v>1224058.9011341126</v>
      </c>
      <c r="M24" s="727">
        <v>1178914.297627521</v>
      </c>
      <c r="N24" s="727">
        <v>867770.37895156094</v>
      </c>
      <c r="O24" s="730">
        <f t="shared" si="0"/>
        <v>13768905.150000002</v>
      </c>
      <c r="Q24" s="704"/>
    </row>
    <row r="25" spans="1:17" x14ac:dyDescent="0.2">
      <c r="A25" s="700" t="s">
        <v>166</v>
      </c>
      <c r="B25" s="714">
        <v>0.03</v>
      </c>
      <c r="C25" s="727">
        <v>89190.897802922467</v>
      </c>
      <c r="D25" s="728">
        <v>89742.015292261407</v>
      </c>
      <c r="E25" s="727">
        <v>101966.01378181059</v>
      </c>
      <c r="F25" s="728">
        <v>97831.140257942505</v>
      </c>
      <c r="G25" s="727">
        <v>104415.31755212697</v>
      </c>
      <c r="H25" s="727">
        <v>100316.28753100858</v>
      </c>
      <c r="I25" s="727">
        <v>103996.83047678693</v>
      </c>
      <c r="J25" s="728">
        <v>103229.67282477464</v>
      </c>
      <c r="K25" s="727">
        <v>98484.176735035959</v>
      </c>
      <c r="L25" s="728">
        <v>103675.23160367977</v>
      </c>
      <c r="M25" s="727">
        <v>99851.578003460279</v>
      </c>
      <c r="N25" s="727">
        <v>73498.338138189793</v>
      </c>
      <c r="O25" s="730">
        <f t="shared" si="0"/>
        <v>1166197.5</v>
      </c>
      <c r="Q25" s="704"/>
    </row>
    <row r="26" spans="1:17" ht="13.5" thickBot="1" x14ac:dyDescent="0.25">
      <c r="A26" s="700" t="s">
        <v>167</v>
      </c>
      <c r="B26" s="713">
        <v>4.5199999999999997E-2</v>
      </c>
      <c r="C26" s="727">
        <v>134380.9526897365</v>
      </c>
      <c r="D26" s="728">
        <v>135211.30304034051</v>
      </c>
      <c r="E26" s="727">
        <v>153628.79409792795</v>
      </c>
      <c r="F26" s="728">
        <v>147398.91798863336</v>
      </c>
      <c r="G26" s="727">
        <v>157319.07844520462</v>
      </c>
      <c r="H26" s="727">
        <v>151143.20654671959</v>
      </c>
      <c r="I26" s="733">
        <v>156688.55791835897</v>
      </c>
      <c r="J26" s="728">
        <v>155532.70705599379</v>
      </c>
      <c r="K26" s="727">
        <v>148382.82628078753</v>
      </c>
      <c r="L26" s="728">
        <v>156204.01561621085</v>
      </c>
      <c r="M26" s="727">
        <v>150443.04419188015</v>
      </c>
      <c r="N26" s="727">
        <v>110737.49612820595</v>
      </c>
      <c r="O26" s="730">
        <f t="shared" si="0"/>
        <v>1757070.9</v>
      </c>
    </row>
    <row r="27" spans="1:17" ht="13.5" thickBot="1" x14ac:dyDescent="0.25">
      <c r="A27" s="705" t="s">
        <v>293</v>
      </c>
      <c r="B27" s="706">
        <f t="shared" ref="B27:O27" si="1">SUM(B7:B26)</f>
        <v>1</v>
      </c>
      <c r="C27" s="735">
        <f t="shared" si="1"/>
        <v>2973029.9267640822</v>
      </c>
      <c r="D27" s="735">
        <f t="shared" si="1"/>
        <v>2991400.5097420472</v>
      </c>
      <c r="E27" s="735">
        <f t="shared" si="1"/>
        <v>3398867.1260603536</v>
      </c>
      <c r="F27" s="735">
        <f t="shared" si="1"/>
        <v>3261038.0085980836</v>
      </c>
      <c r="G27" s="735">
        <f t="shared" si="1"/>
        <v>3480510.5850708988</v>
      </c>
      <c r="H27" s="735">
        <f t="shared" si="1"/>
        <v>3343876.25103362</v>
      </c>
      <c r="I27" s="735">
        <f t="shared" si="1"/>
        <v>3466561.0158928977</v>
      </c>
      <c r="J27" s="735">
        <f t="shared" si="1"/>
        <v>3440989.0941591547</v>
      </c>
      <c r="K27" s="735">
        <f t="shared" si="1"/>
        <v>3282805.8911678661</v>
      </c>
      <c r="L27" s="735">
        <f t="shared" si="1"/>
        <v>3455841.0534559926</v>
      </c>
      <c r="M27" s="735">
        <f t="shared" si="1"/>
        <v>3328385.933448676</v>
      </c>
      <c r="N27" s="735">
        <f t="shared" si="1"/>
        <v>2449944.6046063262</v>
      </c>
      <c r="O27" s="735">
        <f t="shared" si="1"/>
        <v>38873250</v>
      </c>
    </row>
    <row r="28" spans="1:17" x14ac:dyDescent="0.2">
      <c r="A28" s="708"/>
      <c r="B28" s="708"/>
      <c r="C28" s="708"/>
      <c r="D28" s="708"/>
      <c r="E28" s="708"/>
      <c r="F28" s="708"/>
      <c r="G28" s="708"/>
      <c r="H28" s="708"/>
      <c r="I28" s="708"/>
      <c r="J28" s="708"/>
      <c r="K28" s="708"/>
      <c r="L28" s="708"/>
      <c r="M28" s="708"/>
      <c r="N28" s="708"/>
      <c r="O28" s="708"/>
    </row>
    <row r="29" spans="1:17" x14ac:dyDescent="0.2">
      <c r="A29" s="709"/>
    </row>
    <row r="30" spans="1:17" x14ac:dyDescent="0.2">
      <c r="A30" s="695" t="s">
        <v>418</v>
      </c>
      <c r="C30" s="704">
        <v>4539603.375</v>
      </c>
      <c r="D30" s="704">
        <v>4573786.95</v>
      </c>
      <c r="E30" s="704">
        <v>4352117.1749999998</v>
      </c>
      <c r="F30" s="704">
        <v>4693787.0999999996</v>
      </c>
      <c r="G30" s="704">
        <v>4598731.8000000007</v>
      </c>
      <c r="H30" s="704">
        <v>4776747.9750000006</v>
      </c>
      <c r="I30" s="704">
        <v>4553755.4249999998</v>
      </c>
      <c r="J30" s="704">
        <v>4630857.75</v>
      </c>
      <c r="K30" s="704">
        <v>4524086.0250000004</v>
      </c>
      <c r="L30" s="704">
        <v>4336431.9750000006</v>
      </c>
      <c r="M30" s="704">
        <v>4456621.3499999996</v>
      </c>
      <c r="N30" s="704">
        <v>4261408.2</v>
      </c>
      <c r="O30" s="704">
        <f>SUM(C30:N30)</f>
        <v>54297935.100000009</v>
      </c>
    </row>
    <row r="31" spans="1:17" x14ac:dyDescent="0.2">
      <c r="A31" s="695" t="s">
        <v>409</v>
      </c>
      <c r="C31" s="704">
        <f>C30-C27</f>
        <v>1566573.4482359178</v>
      </c>
      <c r="D31" s="704">
        <f t="shared" ref="D31:O31" si="2">D30-D27</f>
        <v>1582386.440257953</v>
      </c>
      <c r="E31" s="704">
        <f t="shared" si="2"/>
        <v>953250.04893964622</v>
      </c>
      <c r="F31" s="704">
        <f t="shared" si="2"/>
        <v>1432749.091401916</v>
      </c>
      <c r="G31" s="704">
        <f t="shared" si="2"/>
        <v>1118221.214929102</v>
      </c>
      <c r="H31" s="704">
        <f t="shared" si="2"/>
        <v>1432871.7239663806</v>
      </c>
      <c r="I31" s="704">
        <f t="shared" si="2"/>
        <v>1087194.4091071021</v>
      </c>
      <c r="J31" s="704">
        <f t="shared" si="2"/>
        <v>1189868.6558408453</v>
      </c>
      <c r="K31" s="704">
        <f t="shared" si="2"/>
        <v>1241280.1338321343</v>
      </c>
      <c r="L31" s="704">
        <f t="shared" si="2"/>
        <v>880590.92154400796</v>
      </c>
      <c r="M31" s="704">
        <f t="shared" si="2"/>
        <v>1128235.4165513236</v>
      </c>
      <c r="N31" s="704">
        <f t="shared" si="2"/>
        <v>1811463.595393674</v>
      </c>
      <c r="O31" s="704">
        <f t="shared" si="2"/>
        <v>15424685.100000009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7" tint="0.39997558519241921"/>
  </sheetPr>
  <dimension ref="A1:O38"/>
  <sheetViews>
    <sheetView topLeftCell="A2" workbookViewId="0">
      <selection activeCell="G41" sqref="G41"/>
    </sheetView>
  </sheetViews>
  <sheetFormatPr baseColWidth="10" defaultRowHeight="12.75" x14ac:dyDescent="0.2"/>
  <cols>
    <col min="1" max="1" width="16.85546875" style="695" customWidth="1"/>
    <col min="2" max="2" width="9.28515625" style="695" bestFit="1" customWidth="1"/>
    <col min="3" max="5" width="11.7109375" style="695" bestFit="1" customWidth="1"/>
    <col min="6" max="6" width="10.140625" style="695" bestFit="1" customWidth="1"/>
    <col min="7" max="8" width="11.7109375" style="695" bestFit="1" customWidth="1"/>
    <col min="9" max="10" width="11.85546875" style="695" bestFit="1" customWidth="1"/>
    <col min="11" max="11" width="15.42578125" style="695" bestFit="1" customWidth="1"/>
    <col min="12" max="14" width="11.855468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419</v>
      </c>
      <c r="B4" s="958"/>
      <c r="C4" s="958"/>
      <c r="D4" s="958"/>
      <c r="E4" s="958"/>
      <c r="F4" s="958"/>
      <c r="G4" s="958"/>
      <c r="H4" s="958"/>
      <c r="I4" s="958"/>
      <c r="J4" s="958"/>
      <c r="K4" s="958"/>
      <c r="L4" s="958"/>
      <c r="M4" s="958"/>
      <c r="N4" s="958"/>
      <c r="O4" s="958"/>
    </row>
    <row r="5" spans="1:15" ht="13.5" thickBot="1" x14ac:dyDescent="0.25"/>
    <row r="6" spans="1:15" ht="34.5" thickBot="1" x14ac:dyDescent="0.25">
      <c r="A6" s="696" t="s">
        <v>404</v>
      </c>
      <c r="B6" s="697" t="s">
        <v>412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ht="13.5" thickBot="1" x14ac:dyDescent="0.25">
      <c r="A7" s="700" t="s">
        <v>287</v>
      </c>
      <c r="B7" s="740">
        <v>5</v>
      </c>
      <c r="C7" s="727">
        <f t="shared" ref="C7:C26" si="0">$C$32*B7/100</f>
        <v>59001.003114284846</v>
      </c>
      <c r="D7" s="728">
        <f t="shared" ref="D7:D26" si="1">$D$32*B7/100</f>
        <v>73908.231937394798</v>
      </c>
      <c r="E7" s="727">
        <f t="shared" ref="E7:E26" si="2">$E$32*B7/100</f>
        <v>109747.61962915756</v>
      </c>
      <c r="F7" s="728">
        <f t="shared" ref="F7:F26" si="3">$F$32*B7/100</f>
        <v>30137.431071750409</v>
      </c>
      <c r="G7" s="727">
        <f t="shared" ref="G7:G26" si="4">$G$32*B7/100</f>
        <v>56686.48498495714</v>
      </c>
      <c r="H7" s="727">
        <f t="shared" ref="H7:H26" si="5">$H$32*B7/100</f>
        <v>60711.854190899248</v>
      </c>
      <c r="I7" s="729">
        <f t="shared" ref="I7:I26" si="6">$I$32*B7/100</f>
        <v>64043.592793827323</v>
      </c>
      <c r="J7" s="728">
        <f t="shared" ref="J7:J26" si="7">$J$32*B7/100</f>
        <v>65931.948183836779</v>
      </c>
      <c r="K7" s="727">
        <f t="shared" ref="K7:K26" si="8">$K$32*B7/100</f>
        <v>107807.41098053614</v>
      </c>
      <c r="L7" s="728">
        <f t="shared" ref="L7:L26" si="9">$L$32*B7/100</f>
        <v>43481.390849113319</v>
      </c>
      <c r="M7" s="727">
        <f t="shared" ref="M7:M26" si="10">$M$32*B7/100</f>
        <v>45794.617047833977</v>
      </c>
      <c r="N7" s="727">
        <f t="shared" ref="N7:N26" si="11">$N$32*B7/100</f>
        <v>60927.778966408216</v>
      </c>
      <c r="O7" s="730">
        <f>SUM(C7:N7)</f>
        <v>778179.36374999979</v>
      </c>
    </row>
    <row r="8" spans="1:15" ht="13.5" thickBot="1" x14ac:dyDescent="0.25">
      <c r="A8" s="700" t="s">
        <v>149</v>
      </c>
      <c r="B8" s="740">
        <v>5</v>
      </c>
      <c r="C8" s="727">
        <f t="shared" si="0"/>
        <v>59001.003114284846</v>
      </c>
      <c r="D8" s="728">
        <f t="shared" si="1"/>
        <v>73908.231937394798</v>
      </c>
      <c r="E8" s="727">
        <f t="shared" si="2"/>
        <v>109747.61962915756</v>
      </c>
      <c r="F8" s="728">
        <f t="shared" si="3"/>
        <v>30137.431071750409</v>
      </c>
      <c r="G8" s="727">
        <f t="shared" si="4"/>
        <v>56686.48498495714</v>
      </c>
      <c r="H8" s="727">
        <f t="shared" si="5"/>
        <v>60711.854190899248</v>
      </c>
      <c r="I8" s="729">
        <f t="shared" si="6"/>
        <v>64043.592793827323</v>
      </c>
      <c r="J8" s="728">
        <f t="shared" si="7"/>
        <v>65931.948183836779</v>
      </c>
      <c r="K8" s="727">
        <f t="shared" si="8"/>
        <v>107807.41098053614</v>
      </c>
      <c r="L8" s="728">
        <f t="shared" si="9"/>
        <v>43481.390849113319</v>
      </c>
      <c r="M8" s="727">
        <f t="shared" si="10"/>
        <v>45794.617047833977</v>
      </c>
      <c r="N8" s="727">
        <f t="shared" si="11"/>
        <v>60927.778966408216</v>
      </c>
      <c r="O8" s="730">
        <f t="shared" ref="O8:O26" si="12">SUM(C8:N8)</f>
        <v>778179.36374999979</v>
      </c>
    </row>
    <row r="9" spans="1:15" ht="13.5" thickBot="1" x14ac:dyDescent="0.25">
      <c r="A9" s="700" t="s">
        <v>150</v>
      </c>
      <c r="B9" s="740">
        <v>5</v>
      </c>
      <c r="C9" s="727">
        <f t="shared" si="0"/>
        <v>59001.003114284846</v>
      </c>
      <c r="D9" s="728">
        <f t="shared" si="1"/>
        <v>73908.231937394798</v>
      </c>
      <c r="E9" s="727">
        <f t="shared" si="2"/>
        <v>109747.61962915756</v>
      </c>
      <c r="F9" s="728">
        <f t="shared" si="3"/>
        <v>30137.431071750409</v>
      </c>
      <c r="G9" s="727">
        <f t="shared" si="4"/>
        <v>56686.48498495714</v>
      </c>
      <c r="H9" s="727">
        <f t="shared" si="5"/>
        <v>60711.854190899248</v>
      </c>
      <c r="I9" s="729">
        <f t="shared" si="6"/>
        <v>64043.592793827323</v>
      </c>
      <c r="J9" s="728">
        <f t="shared" si="7"/>
        <v>65931.948183836779</v>
      </c>
      <c r="K9" s="727">
        <f t="shared" si="8"/>
        <v>107807.41098053614</v>
      </c>
      <c r="L9" s="728">
        <f t="shared" si="9"/>
        <v>43481.390849113319</v>
      </c>
      <c r="M9" s="727">
        <f t="shared" si="10"/>
        <v>45794.617047833977</v>
      </c>
      <c r="N9" s="727">
        <f t="shared" si="11"/>
        <v>60927.778966408216</v>
      </c>
      <c r="O9" s="730">
        <f t="shared" si="12"/>
        <v>778179.36374999979</v>
      </c>
    </row>
    <row r="10" spans="1:15" ht="13.5" thickBot="1" x14ac:dyDescent="0.25">
      <c r="A10" s="700" t="s">
        <v>288</v>
      </c>
      <c r="B10" s="740">
        <v>5</v>
      </c>
      <c r="C10" s="727">
        <f t="shared" si="0"/>
        <v>59001.003114284846</v>
      </c>
      <c r="D10" s="728">
        <f t="shared" si="1"/>
        <v>73908.231937394798</v>
      </c>
      <c r="E10" s="727">
        <f t="shared" si="2"/>
        <v>109747.61962915756</v>
      </c>
      <c r="F10" s="728">
        <f t="shared" si="3"/>
        <v>30137.431071750409</v>
      </c>
      <c r="G10" s="727">
        <f t="shared" si="4"/>
        <v>56686.48498495714</v>
      </c>
      <c r="H10" s="727">
        <f t="shared" si="5"/>
        <v>60711.854190899248</v>
      </c>
      <c r="I10" s="729">
        <f t="shared" si="6"/>
        <v>64043.592793827323</v>
      </c>
      <c r="J10" s="728">
        <f t="shared" si="7"/>
        <v>65931.948183836779</v>
      </c>
      <c r="K10" s="727">
        <f t="shared" si="8"/>
        <v>107807.41098053614</v>
      </c>
      <c r="L10" s="728">
        <f t="shared" si="9"/>
        <v>43481.390849113319</v>
      </c>
      <c r="M10" s="727">
        <f t="shared" si="10"/>
        <v>45794.617047833977</v>
      </c>
      <c r="N10" s="727">
        <f t="shared" si="11"/>
        <v>60927.778966408216</v>
      </c>
      <c r="O10" s="730">
        <f t="shared" si="12"/>
        <v>778179.36374999979</v>
      </c>
    </row>
    <row r="11" spans="1:15" ht="13.5" thickBot="1" x14ac:dyDescent="0.25">
      <c r="A11" s="700" t="s">
        <v>152</v>
      </c>
      <c r="B11" s="740">
        <v>5</v>
      </c>
      <c r="C11" s="727">
        <f t="shared" si="0"/>
        <v>59001.003114284846</v>
      </c>
      <c r="D11" s="728">
        <f t="shared" si="1"/>
        <v>73908.231937394798</v>
      </c>
      <c r="E11" s="727">
        <f t="shared" si="2"/>
        <v>109747.61962915756</v>
      </c>
      <c r="F11" s="728">
        <f t="shared" si="3"/>
        <v>30137.431071750409</v>
      </c>
      <c r="G11" s="727">
        <f t="shared" si="4"/>
        <v>56686.48498495714</v>
      </c>
      <c r="H11" s="727">
        <f t="shared" si="5"/>
        <v>60711.854190899248</v>
      </c>
      <c r="I11" s="729">
        <f t="shared" si="6"/>
        <v>64043.592793827323</v>
      </c>
      <c r="J11" s="728">
        <f t="shared" si="7"/>
        <v>65931.948183836779</v>
      </c>
      <c r="K11" s="727">
        <f t="shared" si="8"/>
        <v>107807.41098053614</v>
      </c>
      <c r="L11" s="728">
        <f t="shared" si="9"/>
        <v>43481.390849113319</v>
      </c>
      <c r="M11" s="727">
        <f t="shared" si="10"/>
        <v>45794.617047833977</v>
      </c>
      <c r="N11" s="727">
        <f t="shared" si="11"/>
        <v>60927.778966408216</v>
      </c>
      <c r="O11" s="730">
        <f t="shared" si="12"/>
        <v>778179.36374999979</v>
      </c>
    </row>
    <row r="12" spans="1:15" ht="13.5" thickBot="1" x14ac:dyDescent="0.25">
      <c r="A12" s="700" t="s">
        <v>289</v>
      </c>
      <c r="B12" s="740">
        <v>5</v>
      </c>
      <c r="C12" s="727">
        <f t="shared" si="0"/>
        <v>59001.003114284846</v>
      </c>
      <c r="D12" s="728">
        <f t="shared" si="1"/>
        <v>73908.231937394798</v>
      </c>
      <c r="E12" s="727">
        <f t="shared" si="2"/>
        <v>109747.61962915756</v>
      </c>
      <c r="F12" s="728">
        <f t="shared" si="3"/>
        <v>30137.431071750409</v>
      </c>
      <c r="G12" s="727">
        <f t="shared" si="4"/>
        <v>56686.48498495714</v>
      </c>
      <c r="H12" s="727">
        <f t="shared" si="5"/>
        <v>60711.854190899248</v>
      </c>
      <c r="I12" s="729">
        <f t="shared" si="6"/>
        <v>64043.592793827323</v>
      </c>
      <c r="J12" s="728">
        <f t="shared" si="7"/>
        <v>65931.948183836779</v>
      </c>
      <c r="K12" s="727">
        <f t="shared" si="8"/>
        <v>107807.41098053614</v>
      </c>
      <c r="L12" s="728">
        <f t="shared" si="9"/>
        <v>43481.390849113319</v>
      </c>
      <c r="M12" s="727">
        <f t="shared" si="10"/>
        <v>45794.617047833977</v>
      </c>
      <c r="N12" s="727">
        <f t="shared" si="11"/>
        <v>60927.778966408216</v>
      </c>
      <c r="O12" s="730">
        <f t="shared" si="12"/>
        <v>778179.36374999979</v>
      </c>
    </row>
    <row r="13" spans="1:15" ht="13.5" thickBot="1" x14ac:dyDescent="0.25">
      <c r="A13" s="700" t="s">
        <v>154</v>
      </c>
      <c r="B13" s="740">
        <v>5</v>
      </c>
      <c r="C13" s="727">
        <f t="shared" si="0"/>
        <v>59001.003114284846</v>
      </c>
      <c r="D13" s="728">
        <f t="shared" si="1"/>
        <v>73908.231937394798</v>
      </c>
      <c r="E13" s="727">
        <f t="shared" si="2"/>
        <v>109747.61962915756</v>
      </c>
      <c r="F13" s="728">
        <f t="shared" si="3"/>
        <v>30137.431071750409</v>
      </c>
      <c r="G13" s="727">
        <f t="shared" si="4"/>
        <v>56686.48498495714</v>
      </c>
      <c r="H13" s="727">
        <f t="shared" si="5"/>
        <v>60711.854190899248</v>
      </c>
      <c r="I13" s="729">
        <f t="shared" si="6"/>
        <v>64043.592793827323</v>
      </c>
      <c r="J13" s="728">
        <f t="shared" si="7"/>
        <v>65931.948183836779</v>
      </c>
      <c r="K13" s="727">
        <f t="shared" si="8"/>
        <v>107807.41098053614</v>
      </c>
      <c r="L13" s="728">
        <f t="shared" si="9"/>
        <v>43481.390849113319</v>
      </c>
      <c r="M13" s="727">
        <f t="shared" si="10"/>
        <v>45794.617047833977</v>
      </c>
      <c r="N13" s="727">
        <f t="shared" si="11"/>
        <v>60927.778966408216</v>
      </c>
      <c r="O13" s="730">
        <f t="shared" si="12"/>
        <v>778179.36374999979</v>
      </c>
    </row>
    <row r="14" spans="1:15" ht="13.5" thickBot="1" x14ac:dyDescent="0.25">
      <c r="A14" s="700" t="s">
        <v>155</v>
      </c>
      <c r="B14" s="740">
        <v>5</v>
      </c>
      <c r="C14" s="727">
        <f t="shared" si="0"/>
        <v>59001.003114284846</v>
      </c>
      <c r="D14" s="728">
        <f t="shared" si="1"/>
        <v>73908.231937394798</v>
      </c>
      <c r="E14" s="727">
        <f t="shared" si="2"/>
        <v>109747.61962915756</v>
      </c>
      <c r="F14" s="728">
        <f t="shared" si="3"/>
        <v>30137.431071750409</v>
      </c>
      <c r="G14" s="727">
        <f t="shared" si="4"/>
        <v>56686.48498495714</v>
      </c>
      <c r="H14" s="727">
        <f t="shared" si="5"/>
        <v>60711.854190899248</v>
      </c>
      <c r="I14" s="729">
        <f t="shared" si="6"/>
        <v>64043.592793827323</v>
      </c>
      <c r="J14" s="728">
        <f t="shared" si="7"/>
        <v>65931.948183836779</v>
      </c>
      <c r="K14" s="727">
        <f t="shared" si="8"/>
        <v>107807.41098053614</v>
      </c>
      <c r="L14" s="728">
        <f t="shared" si="9"/>
        <v>43481.390849113319</v>
      </c>
      <c r="M14" s="727">
        <f t="shared" si="10"/>
        <v>45794.617047833977</v>
      </c>
      <c r="N14" s="727">
        <f t="shared" si="11"/>
        <v>60927.778966408216</v>
      </c>
      <c r="O14" s="730">
        <f t="shared" si="12"/>
        <v>778179.36374999979</v>
      </c>
    </row>
    <row r="15" spans="1:15" ht="13.5" thickBot="1" x14ac:dyDescent="0.25">
      <c r="A15" s="700" t="s">
        <v>156</v>
      </c>
      <c r="B15" s="740">
        <v>5</v>
      </c>
      <c r="C15" s="727">
        <f t="shared" si="0"/>
        <v>59001.003114284846</v>
      </c>
      <c r="D15" s="728">
        <f t="shared" si="1"/>
        <v>73908.231937394798</v>
      </c>
      <c r="E15" s="727">
        <f t="shared" si="2"/>
        <v>109747.61962915756</v>
      </c>
      <c r="F15" s="728">
        <f t="shared" si="3"/>
        <v>30137.431071750409</v>
      </c>
      <c r="G15" s="727">
        <f t="shared" si="4"/>
        <v>56686.48498495714</v>
      </c>
      <c r="H15" s="727">
        <f t="shared" si="5"/>
        <v>60711.854190899248</v>
      </c>
      <c r="I15" s="729">
        <f t="shared" si="6"/>
        <v>64043.592793827323</v>
      </c>
      <c r="J15" s="728">
        <f t="shared" si="7"/>
        <v>65931.948183836779</v>
      </c>
      <c r="K15" s="727">
        <f t="shared" si="8"/>
        <v>107807.41098053614</v>
      </c>
      <c r="L15" s="728">
        <f t="shared" si="9"/>
        <v>43481.390849113319</v>
      </c>
      <c r="M15" s="727">
        <f t="shared" si="10"/>
        <v>45794.617047833977</v>
      </c>
      <c r="N15" s="727">
        <f t="shared" si="11"/>
        <v>60927.778966408216</v>
      </c>
      <c r="O15" s="730">
        <f t="shared" si="12"/>
        <v>778179.36374999979</v>
      </c>
    </row>
    <row r="16" spans="1:15" ht="13.5" thickBot="1" x14ac:dyDescent="0.25">
      <c r="A16" s="700" t="s">
        <v>157</v>
      </c>
      <c r="B16" s="740">
        <v>5</v>
      </c>
      <c r="C16" s="727">
        <f t="shared" si="0"/>
        <v>59001.003114284846</v>
      </c>
      <c r="D16" s="728">
        <f t="shared" si="1"/>
        <v>73908.231937394798</v>
      </c>
      <c r="E16" s="727">
        <f t="shared" si="2"/>
        <v>109747.61962915756</v>
      </c>
      <c r="F16" s="728">
        <f t="shared" si="3"/>
        <v>30137.431071750409</v>
      </c>
      <c r="G16" s="727">
        <f t="shared" si="4"/>
        <v>56686.48498495714</v>
      </c>
      <c r="H16" s="727">
        <f t="shared" si="5"/>
        <v>60711.854190899248</v>
      </c>
      <c r="I16" s="729">
        <f t="shared" si="6"/>
        <v>64043.592793827323</v>
      </c>
      <c r="J16" s="728">
        <f t="shared" si="7"/>
        <v>65931.948183836779</v>
      </c>
      <c r="K16" s="727">
        <f t="shared" si="8"/>
        <v>107807.41098053614</v>
      </c>
      <c r="L16" s="728">
        <f t="shared" si="9"/>
        <v>43481.390849113319</v>
      </c>
      <c r="M16" s="727">
        <f t="shared" si="10"/>
        <v>45794.617047833977</v>
      </c>
      <c r="N16" s="727">
        <f t="shared" si="11"/>
        <v>60927.778966408216</v>
      </c>
      <c r="O16" s="730">
        <f t="shared" si="12"/>
        <v>778179.36374999979</v>
      </c>
    </row>
    <row r="17" spans="1:15" ht="13.5" thickBot="1" x14ac:dyDescent="0.25">
      <c r="A17" s="700" t="s">
        <v>158</v>
      </c>
      <c r="B17" s="740">
        <v>5</v>
      </c>
      <c r="C17" s="727">
        <f t="shared" si="0"/>
        <v>59001.003114284846</v>
      </c>
      <c r="D17" s="728">
        <f t="shared" si="1"/>
        <v>73908.231937394798</v>
      </c>
      <c r="E17" s="727">
        <f t="shared" si="2"/>
        <v>109747.61962915756</v>
      </c>
      <c r="F17" s="728">
        <f t="shared" si="3"/>
        <v>30137.431071750409</v>
      </c>
      <c r="G17" s="727">
        <f t="shared" si="4"/>
        <v>56686.48498495714</v>
      </c>
      <c r="H17" s="727">
        <f t="shared" si="5"/>
        <v>60711.854190899248</v>
      </c>
      <c r="I17" s="729">
        <f t="shared" si="6"/>
        <v>64043.592793827323</v>
      </c>
      <c r="J17" s="728">
        <f t="shared" si="7"/>
        <v>65931.948183836779</v>
      </c>
      <c r="K17" s="727">
        <f t="shared" si="8"/>
        <v>107807.41098053614</v>
      </c>
      <c r="L17" s="728">
        <f t="shared" si="9"/>
        <v>43481.390849113319</v>
      </c>
      <c r="M17" s="727">
        <f t="shared" si="10"/>
        <v>45794.617047833977</v>
      </c>
      <c r="N17" s="727">
        <f t="shared" si="11"/>
        <v>60927.778966408216</v>
      </c>
      <c r="O17" s="730">
        <f t="shared" si="12"/>
        <v>778179.36374999979</v>
      </c>
    </row>
    <row r="18" spans="1:15" ht="13.5" thickBot="1" x14ac:dyDescent="0.25">
      <c r="A18" s="700" t="s">
        <v>159</v>
      </c>
      <c r="B18" s="740">
        <v>5</v>
      </c>
      <c r="C18" s="727">
        <f t="shared" si="0"/>
        <v>59001.003114284846</v>
      </c>
      <c r="D18" s="728">
        <f t="shared" si="1"/>
        <v>73908.231937394798</v>
      </c>
      <c r="E18" s="727">
        <f t="shared" si="2"/>
        <v>109747.61962915756</v>
      </c>
      <c r="F18" s="728">
        <f t="shared" si="3"/>
        <v>30137.431071750409</v>
      </c>
      <c r="G18" s="727">
        <f t="shared" si="4"/>
        <v>56686.48498495714</v>
      </c>
      <c r="H18" s="727">
        <f t="shared" si="5"/>
        <v>60711.854190899248</v>
      </c>
      <c r="I18" s="729">
        <f t="shared" si="6"/>
        <v>64043.592793827323</v>
      </c>
      <c r="J18" s="728">
        <f t="shared" si="7"/>
        <v>65931.948183836779</v>
      </c>
      <c r="K18" s="727">
        <f t="shared" si="8"/>
        <v>107807.41098053614</v>
      </c>
      <c r="L18" s="728">
        <f t="shared" si="9"/>
        <v>43481.390849113319</v>
      </c>
      <c r="M18" s="727">
        <f t="shared" si="10"/>
        <v>45794.617047833977</v>
      </c>
      <c r="N18" s="727">
        <f t="shared" si="11"/>
        <v>60927.778966408216</v>
      </c>
      <c r="O18" s="730">
        <f t="shared" si="12"/>
        <v>778179.36374999979</v>
      </c>
    </row>
    <row r="19" spans="1:15" ht="13.5" thickBot="1" x14ac:dyDescent="0.25">
      <c r="A19" s="700" t="s">
        <v>160</v>
      </c>
      <c r="B19" s="740">
        <v>5</v>
      </c>
      <c r="C19" s="727">
        <f t="shared" si="0"/>
        <v>59001.003114284846</v>
      </c>
      <c r="D19" s="728">
        <f t="shared" si="1"/>
        <v>73908.231937394798</v>
      </c>
      <c r="E19" s="727">
        <f t="shared" si="2"/>
        <v>109747.61962915756</v>
      </c>
      <c r="F19" s="728">
        <f t="shared" si="3"/>
        <v>30137.431071750409</v>
      </c>
      <c r="G19" s="727">
        <f t="shared" si="4"/>
        <v>56686.48498495714</v>
      </c>
      <c r="H19" s="727">
        <f t="shared" si="5"/>
        <v>60711.854190899248</v>
      </c>
      <c r="I19" s="729">
        <f t="shared" si="6"/>
        <v>64043.592793827323</v>
      </c>
      <c r="J19" s="728">
        <f t="shared" si="7"/>
        <v>65931.948183836779</v>
      </c>
      <c r="K19" s="727">
        <f t="shared" si="8"/>
        <v>107807.41098053614</v>
      </c>
      <c r="L19" s="728">
        <f t="shared" si="9"/>
        <v>43481.390849113319</v>
      </c>
      <c r="M19" s="727">
        <f t="shared" si="10"/>
        <v>45794.617047833977</v>
      </c>
      <c r="N19" s="727">
        <f t="shared" si="11"/>
        <v>60927.778966408216</v>
      </c>
      <c r="O19" s="730">
        <f t="shared" si="12"/>
        <v>778179.36374999979</v>
      </c>
    </row>
    <row r="20" spans="1:15" ht="13.5" thickBot="1" x14ac:dyDescent="0.25">
      <c r="A20" s="700" t="s">
        <v>290</v>
      </c>
      <c r="B20" s="740">
        <v>5</v>
      </c>
      <c r="C20" s="727">
        <f t="shared" si="0"/>
        <v>59001.003114284846</v>
      </c>
      <c r="D20" s="728">
        <f t="shared" si="1"/>
        <v>73908.231937394798</v>
      </c>
      <c r="E20" s="727">
        <f t="shared" si="2"/>
        <v>109747.61962915756</v>
      </c>
      <c r="F20" s="728">
        <f t="shared" si="3"/>
        <v>30137.431071750409</v>
      </c>
      <c r="G20" s="727">
        <f t="shared" si="4"/>
        <v>56686.48498495714</v>
      </c>
      <c r="H20" s="727">
        <f t="shared" si="5"/>
        <v>60711.854190899248</v>
      </c>
      <c r="I20" s="729">
        <f t="shared" si="6"/>
        <v>64043.592793827323</v>
      </c>
      <c r="J20" s="728">
        <f t="shared" si="7"/>
        <v>65931.948183836779</v>
      </c>
      <c r="K20" s="727">
        <f t="shared" si="8"/>
        <v>107807.41098053614</v>
      </c>
      <c r="L20" s="728">
        <f t="shared" si="9"/>
        <v>43481.390849113319</v>
      </c>
      <c r="M20" s="727">
        <f t="shared" si="10"/>
        <v>45794.617047833977</v>
      </c>
      <c r="N20" s="727">
        <f t="shared" si="11"/>
        <v>60927.778966408216</v>
      </c>
      <c r="O20" s="730">
        <f t="shared" si="12"/>
        <v>778179.36374999979</v>
      </c>
    </row>
    <row r="21" spans="1:15" ht="13.5" thickBot="1" x14ac:dyDescent="0.25">
      <c r="A21" s="700" t="s">
        <v>291</v>
      </c>
      <c r="B21" s="740">
        <v>5</v>
      </c>
      <c r="C21" s="727">
        <f t="shared" si="0"/>
        <v>59001.003114284846</v>
      </c>
      <c r="D21" s="728">
        <f t="shared" si="1"/>
        <v>73908.231937394798</v>
      </c>
      <c r="E21" s="727">
        <f t="shared" si="2"/>
        <v>109747.61962915756</v>
      </c>
      <c r="F21" s="728">
        <f t="shared" si="3"/>
        <v>30137.431071750409</v>
      </c>
      <c r="G21" s="727">
        <f t="shared" si="4"/>
        <v>56686.48498495714</v>
      </c>
      <c r="H21" s="727">
        <f t="shared" si="5"/>
        <v>60711.854190899248</v>
      </c>
      <c r="I21" s="729">
        <f t="shared" si="6"/>
        <v>64043.592793827323</v>
      </c>
      <c r="J21" s="728">
        <f t="shared" si="7"/>
        <v>65931.948183836779</v>
      </c>
      <c r="K21" s="727">
        <f t="shared" si="8"/>
        <v>107807.41098053614</v>
      </c>
      <c r="L21" s="728">
        <f t="shared" si="9"/>
        <v>43481.390849113319</v>
      </c>
      <c r="M21" s="727">
        <f t="shared" si="10"/>
        <v>45794.617047833977</v>
      </c>
      <c r="N21" s="727">
        <f t="shared" si="11"/>
        <v>60927.778966408216</v>
      </c>
      <c r="O21" s="730">
        <f t="shared" si="12"/>
        <v>778179.36374999979</v>
      </c>
    </row>
    <row r="22" spans="1:15" ht="13.5" thickBot="1" x14ac:dyDescent="0.25">
      <c r="A22" s="700" t="s">
        <v>292</v>
      </c>
      <c r="B22" s="740">
        <v>5</v>
      </c>
      <c r="C22" s="727">
        <f t="shared" si="0"/>
        <v>59001.003114284846</v>
      </c>
      <c r="D22" s="728">
        <f t="shared" si="1"/>
        <v>73908.231937394798</v>
      </c>
      <c r="E22" s="727">
        <f t="shared" si="2"/>
        <v>109747.61962915756</v>
      </c>
      <c r="F22" s="728">
        <f t="shared" si="3"/>
        <v>30137.431071750409</v>
      </c>
      <c r="G22" s="727">
        <f t="shared" si="4"/>
        <v>56686.48498495714</v>
      </c>
      <c r="H22" s="727">
        <f t="shared" si="5"/>
        <v>60711.854190899248</v>
      </c>
      <c r="I22" s="729">
        <f t="shared" si="6"/>
        <v>64043.592793827323</v>
      </c>
      <c r="J22" s="728">
        <f t="shared" si="7"/>
        <v>65931.948183836779</v>
      </c>
      <c r="K22" s="727">
        <f t="shared" si="8"/>
        <v>107807.41098053614</v>
      </c>
      <c r="L22" s="728">
        <f t="shared" si="9"/>
        <v>43481.390849113319</v>
      </c>
      <c r="M22" s="727">
        <f t="shared" si="10"/>
        <v>45794.617047833977</v>
      </c>
      <c r="N22" s="727">
        <f t="shared" si="11"/>
        <v>60927.778966408216</v>
      </c>
      <c r="O22" s="730">
        <f t="shared" si="12"/>
        <v>778179.36374999979</v>
      </c>
    </row>
    <row r="23" spans="1:15" ht="13.5" thickBot="1" x14ac:dyDescent="0.25">
      <c r="A23" s="700" t="s">
        <v>164</v>
      </c>
      <c r="B23" s="740">
        <v>5</v>
      </c>
      <c r="C23" s="727">
        <f t="shared" si="0"/>
        <v>59001.003114284846</v>
      </c>
      <c r="D23" s="728">
        <f t="shared" si="1"/>
        <v>73908.231937394798</v>
      </c>
      <c r="E23" s="727">
        <f t="shared" si="2"/>
        <v>109747.61962915756</v>
      </c>
      <c r="F23" s="728">
        <f t="shared" si="3"/>
        <v>30137.431071750409</v>
      </c>
      <c r="G23" s="727">
        <f t="shared" si="4"/>
        <v>56686.48498495714</v>
      </c>
      <c r="H23" s="727">
        <f t="shared" si="5"/>
        <v>60711.854190899248</v>
      </c>
      <c r="I23" s="729">
        <f t="shared" si="6"/>
        <v>64043.592793827323</v>
      </c>
      <c r="J23" s="728">
        <f t="shared" si="7"/>
        <v>65931.948183836779</v>
      </c>
      <c r="K23" s="727">
        <f t="shared" si="8"/>
        <v>107807.41098053614</v>
      </c>
      <c r="L23" s="728">
        <f t="shared" si="9"/>
        <v>43481.390849113319</v>
      </c>
      <c r="M23" s="727">
        <f t="shared" si="10"/>
        <v>45794.617047833977</v>
      </c>
      <c r="N23" s="727">
        <f t="shared" si="11"/>
        <v>60927.778966408216</v>
      </c>
      <c r="O23" s="730">
        <f t="shared" si="12"/>
        <v>778179.36374999979</v>
      </c>
    </row>
    <row r="24" spans="1:15" ht="13.5" thickBot="1" x14ac:dyDescent="0.25">
      <c r="A24" s="700" t="s">
        <v>165</v>
      </c>
      <c r="B24" s="740">
        <v>5</v>
      </c>
      <c r="C24" s="727">
        <f t="shared" si="0"/>
        <v>59001.003114284846</v>
      </c>
      <c r="D24" s="728">
        <f t="shared" si="1"/>
        <v>73908.231937394798</v>
      </c>
      <c r="E24" s="727">
        <f t="shared" si="2"/>
        <v>109747.61962915756</v>
      </c>
      <c r="F24" s="728">
        <f t="shared" si="3"/>
        <v>30137.431071750409</v>
      </c>
      <c r="G24" s="727">
        <f t="shared" si="4"/>
        <v>56686.48498495714</v>
      </c>
      <c r="H24" s="727">
        <f t="shared" si="5"/>
        <v>60711.854190899248</v>
      </c>
      <c r="I24" s="729">
        <f t="shared" si="6"/>
        <v>64043.592793827323</v>
      </c>
      <c r="J24" s="728">
        <f t="shared" si="7"/>
        <v>65931.948183836779</v>
      </c>
      <c r="K24" s="727">
        <f t="shared" si="8"/>
        <v>107807.41098053614</v>
      </c>
      <c r="L24" s="728">
        <f t="shared" si="9"/>
        <v>43481.390849113319</v>
      </c>
      <c r="M24" s="727">
        <f t="shared" si="10"/>
        <v>45794.617047833977</v>
      </c>
      <c r="N24" s="727">
        <f t="shared" si="11"/>
        <v>60927.778966408216</v>
      </c>
      <c r="O24" s="730">
        <f t="shared" si="12"/>
        <v>778179.36374999979</v>
      </c>
    </row>
    <row r="25" spans="1:15" ht="13.5" thickBot="1" x14ac:dyDescent="0.25">
      <c r="A25" s="700" t="s">
        <v>166</v>
      </c>
      <c r="B25" s="740">
        <v>5</v>
      </c>
      <c r="C25" s="727">
        <f t="shared" si="0"/>
        <v>59001.003114284846</v>
      </c>
      <c r="D25" s="728">
        <f t="shared" si="1"/>
        <v>73908.231937394798</v>
      </c>
      <c r="E25" s="727">
        <f t="shared" si="2"/>
        <v>109747.61962915756</v>
      </c>
      <c r="F25" s="728">
        <f t="shared" si="3"/>
        <v>30137.431071750409</v>
      </c>
      <c r="G25" s="727">
        <f t="shared" si="4"/>
        <v>56686.48498495714</v>
      </c>
      <c r="H25" s="727">
        <f t="shared" si="5"/>
        <v>60711.854190899248</v>
      </c>
      <c r="I25" s="729">
        <f t="shared" si="6"/>
        <v>64043.592793827323</v>
      </c>
      <c r="J25" s="728">
        <f t="shared" si="7"/>
        <v>65931.948183836779</v>
      </c>
      <c r="K25" s="727">
        <f t="shared" si="8"/>
        <v>107807.41098053614</v>
      </c>
      <c r="L25" s="728">
        <f t="shared" si="9"/>
        <v>43481.390849113319</v>
      </c>
      <c r="M25" s="727">
        <f t="shared" si="10"/>
        <v>45794.617047833977</v>
      </c>
      <c r="N25" s="727">
        <f t="shared" si="11"/>
        <v>60927.778966408216</v>
      </c>
      <c r="O25" s="730">
        <f t="shared" si="12"/>
        <v>778179.36374999979</v>
      </c>
    </row>
    <row r="26" spans="1:15" ht="13.5" thickBot="1" x14ac:dyDescent="0.25">
      <c r="A26" s="700" t="s">
        <v>167</v>
      </c>
      <c r="B26" s="740">
        <v>5</v>
      </c>
      <c r="C26" s="727">
        <f t="shared" si="0"/>
        <v>59001.003114284846</v>
      </c>
      <c r="D26" s="728">
        <f t="shared" si="1"/>
        <v>73908.231937394798</v>
      </c>
      <c r="E26" s="727">
        <f t="shared" si="2"/>
        <v>109747.61962915756</v>
      </c>
      <c r="F26" s="728">
        <f t="shared" si="3"/>
        <v>30137.431071750409</v>
      </c>
      <c r="G26" s="727">
        <f t="shared" si="4"/>
        <v>56686.48498495714</v>
      </c>
      <c r="H26" s="727">
        <f t="shared" si="5"/>
        <v>60711.854190899248</v>
      </c>
      <c r="I26" s="729">
        <f t="shared" si="6"/>
        <v>64043.592793827323</v>
      </c>
      <c r="J26" s="728">
        <f t="shared" si="7"/>
        <v>65931.948183836779</v>
      </c>
      <c r="K26" s="727">
        <f t="shared" si="8"/>
        <v>107807.41098053614</v>
      </c>
      <c r="L26" s="728">
        <f t="shared" si="9"/>
        <v>43481.390849113319</v>
      </c>
      <c r="M26" s="727">
        <f t="shared" si="10"/>
        <v>45794.617047833977</v>
      </c>
      <c r="N26" s="727">
        <f t="shared" si="11"/>
        <v>60927.778966408216</v>
      </c>
      <c r="O26" s="730">
        <f t="shared" si="12"/>
        <v>778179.36374999979</v>
      </c>
    </row>
    <row r="27" spans="1:15" ht="13.5" thickBot="1" x14ac:dyDescent="0.25">
      <c r="A27" s="705" t="s">
        <v>293</v>
      </c>
      <c r="B27" s="706">
        <f>SUM(B7:B26)</f>
        <v>100</v>
      </c>
      <c r="C27" s="735">
        <f>SUM(C7:C26)</f>
        <v>1180020.0622856971</v>
      </c>
      <c r="D27" s="735">
        <f t="shared" ref="D27:O27" si="13">SUM(D7:D26)</f>
        <v>1478164.6387478958</v>
      </c>
      <c r="E27" s="735">
        <f t="shared" si="13"/>
        <v>2194952.3925831504</v>
      </c>
      <c r="F27" s="735">
        <f t="shared" si="13"/>
        <v>602748.62143500801</v>
      </c>
      <c r="G27" s="735">
        <f t="shared" si="13"/>
        <v>1133729.6996991427</v>
      </c>
      <c r="H27" s="735">
        <f t="shared" si="13"/>
        <v>1214237.0838179854</v>
      </c>
      <c r="I27" s="735">
        <f t="shared" si="13"/>
        <v>1280871.8558765464</v>
      </c>
      <c r="J27" s="735">
        <f t="shared" si="13"/>
        <v>1318638.963676736</v>
      </c>
      <c r="K27" s="735">
        <f t="shared" si="13"/>
        <v>2156148.2196107227</v>
      </c>
      <c r="L27" s="735">
        <f t="shared" si="13"/>
        <v>869627.81698226673</v>
      </c>
      <c r="M27" s="735">
        <f t="shared" si="13"/>
        <v>915892.34095667955</v>
      </c>
      <c r="N27" s="735">
        <f t="shared" si="13"/>
        <v>1218555.5793281642</v>
      </c>
      <c r="O27" s="735">
        <f t="shared" si="13"/>
        <v>15563587.274999993</v>
      </c>
    </row>
    <row r="28" spans="1:15" hidden="1" x14ac:dyDescent="0.2">
      <c r="A28" s="716" t="s">
        <v>408</v>
      </c>
      <c r="B28" s="716"/>
      <c r="C28" s="717">
        <f>'[2]PRESUPUSTO ESTATAL 2017'!B52</f>
        <v>1521250.4468291907</v>
      </c>
      <c r="D28" s="717">
        <f>'[2]PRESUPUSTO ESTATAL 2017'!C52</f>
        <v>1992155.4322061262</v>
      </c>
      <c r="E28" s="717">
        <f>'[2]PRESUPUSTO ESTATAL 2017'!D52</f>
        <v>1561223.5204092669</v>
      </c>
      <c r="F28" s="717">
        <f>'[2]PRESUPUSTO ESTATAL 2017'!E52</f>
        <v>1709133.4840227321</v>
      </c>
      <c r="G28" s="717">
        <f>'[2]PRESUPUSTO ESTATAL 2017'!F52</f>
        <v>1794276.5472658337</v>
      </c>
      <c r="H28" s="717">
        <f>'[2]PRESUPUSTO ESTATAL 2017'!G52</f>
        <v>1664193.9164477964</v>
      </c>
      <c r="I28" s="717">
        <f>'[2]PRESUPUSTO ESTATAL 2017'!H52</f>
        <v>1722567.8942233375</v>
      </c>
      <c r="J28" s="717">
        <f>'[2]PRESUPUSTO ESTATAL 2017'!I52</f>
        <v>1774773.0179705636</v>
      </c>
      <c r="K28" s="717">
        <f>'[2]PRESUPUSTO ESTATAL 2017'!J52</f>
        <v>1814273.0193366187</v>
      </c>
      <c r="L28" s="717">
        <f>'[2]PRESUPUSTO ESTATAL 2017'!K52</f>
        <v>1772942.0603667807</v>
      </c>
      <c r="M28" s="717">
        <f>'[2]PRESUPUSTO ESTATAL 2017'!L52</f>
        <v>1696337.0334839264</v>
      </c>
      <c r="N28" s="717">
        <f>'[2]PRESUPUSTO ESTATAL 2017'!M52</f>
        <v>1676873.6274378267</v>
      </c>
      <c r="O28" s="717">
        <f>SUM(C28:N28)</f>
        <v>20700000</v>
      </c>
    </row>
    <row r="29" spans="1:15" hidden="1" x14ac:dyDescent="0.2">
      <c r="A29" s="718" t="s">
        <v>409</v>
      </c>
      <c r="B29" s="718"/>
      <c r="C29" s="719">
        <f>C28-C27</f>
        <v>341230.38454349362</v>
      </c>
      <c r="D29" s="719">
        <f t="shared" ref="D29:O29" si="14">D28-D27</f>
        <v>513990.79345823033</v>
      </c>
      <c r="E29" s="719">
        <f t="shared" si="14"/>
        <v>-633728.87217388349</v>
      </c>
      <c r="F29" s="719">
        <f t="shared" si="14"/>
        <v>1106384.8625877241</v>
      </c>
      <c r="G29" s="719">
        <f t="shared" si="14"/>
        <v>660546.84756669099</v>
      </c>
      <c r="H29" s="719">
        <f t="shared" si="14"/>
        <v>449956.83262981102</v>
      </c>
      <c r="I29" s="719">
        <f t="shared" si="14"/>
        <v>441696.03834679117</v>
      </c>
      <c r="J29" s="719">
        <f t="shared" si="14"/>
        <v>456134.05429382762</v>
      </c>
      <c r="K29" s="719">
        <f t="shared" si="14"/>
        <v>-341875.20027410402</v>
      </c>
      <c r="L29" s="719">
        <f t="shared" si="14"/>
        <v>903314.243384514</v>
      </c>
      <c r="M29" s="719">
        <f t="shared" si="14"/>
        <v>780444.69252724689</v>
      </c>
      <c r="N29" s="719">
        <f t="shared" si="14"/>
        <v>458318.04810966249</v>
      </c>
      <c r="O29" s="719">
        <f t="shared" si="14"/>
        <v>5136412.7250000071</v>
      </c>
    </row>
    <row r="30" spans="1:15" x14ac:dyDescent="0.2">
      <c r="A30" s="709" t="s">
        <v>294</v>
      </c>
    </row>
    <row r="32" spans="1:15" x14ac:dyDescent="0.2">
      <c r="A32" s="695" t="s">
        <v>409</v>
      </c>
      <c r="C32" s="737">
        <v>1180020.0622856969</v>
      </c>
      <c r="D32" s="737">
        <v>1478164.6387478961</v>
      </c>
      <c r="E32" s="737">
        <v>2194952.3925831513</v>
      </c>
      <c r="F32" s="737">
        <v>602748.62143500824</v>
      </c>
      <c r="G32" s="737">
        <v>1133729.6996991427</v>
      </c>
      <c r="H32" s="737">
        <v>1214237.0838179849</v>
      </c>
      <c r="I32" s="737">
        <v>1280871.8558765466</v>
      </c>
      <c r="J32" s="737">
        <v>1318638.9636767355</v>
      </c>
      <c r="K32" s="737">
        <v>2156148.2196107227</v>
      </c>
      <c r="L32" s="737">
        <v>869627.81698226626</v>
      </c>
      <c r="M32" s="737">
        <v>915892.34095667955</v>
      </c>
      <c r="N32" s="737">
        <v>1218555.5793281642</v>
      </c>
      <c r="O32" s="737">
        <v>15563587.274999995</v>
      </c>
    </row>
    <row r="34" spans="3:15" x14ac:dyDescent="0.2">
      <c r="C34" s="704"/>
      <c r="D34" s="704"/>
      <c r="E34" s="704"/>
      <c r="F34" s="704"/>
      <c r="G34" s="704"/>
      <c r="H34" s="704"/>
      <c r="I34" s="704"/>
      <c r="J34" s="704"/>
      <c r="K34" s="704"/>
      <c r="L34" s="704"/>
      <c r="M34" s="704"/>
      <c r="N34" s="704"/>
      <c r="O34" s="704"/>
    </row>
    <row r="38" spans="3:15" x14ac:dyDescent="0.2">
      <c r="K38" s="704"/>
    </row>
  </sheetData>
  <mergeCells count="4">
    <mergeCell ref="A1:O1"/>
    <mergeCell ref="A2:O2"/>
    <mergeCell ref="A3:O3"/>
    <mergeCell ref="A4:O4"/>
  </mergeCells>
  <pageMargins left="0.75" right="0.75" top="1" bottom="1" header="0" footer="0"/>
  <pageSetup paperSize="5" scale="95"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topLeftCell="A2" workbookViewId="0">
      <selection activeCell="G41" sqref="G41"/>
    </sheetView>
  </sheetViews>
  <sheetFormatPr baseColWidth="10" defaultRowHeight="12.75" x14ac:dyDescent="0.2"/>
  <cols>
    <col min="1" max="1" width="16.85546875" style="695" customWidth="1"/>
    <col min="2" max="2" width="9.28515625" style="695" bestFit="1" customWidth="1"/>
    <col min="3" max="3" width="11.85546875" style="695" bestFit="1" customWidth="1"/>
    <col min="4" max="8" width="11.28515625" style="695" bestFit="1" customWidth="1"/>
    <col min="9" max="10" width="11.85546875" style="695" bestFit="1" customWidth="1"/>
    <col min="11" max="11" width="15.42578125" style="695" bestFit="1" customWidth="1"/>
    <col min="12" max="14" width="11.85546875" style="695" bestFit="1" customWidth="1"/>
    <col min="15" max="15" width="13.140625" style="695" bestFit="1" customWidth="1"/>
    <col min="16"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419</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11">
        <v>3.9399999999999998E-2</v>
      </c>
      <c r="C7" s="727">
        <v>56963.546951054755</v>
      </c>
      <c r="D7" s="728">
        <v>86906.697217008536</v>
      </c>
      <c r="E7" s="727">
        <v>59746.246585840105</v>
      </c>
      <c r="F7" s="728">
        <v>67867.982827057887</v>
      </c>
      <c r="G7" s="727">
        <v>64660.762935787861</v>
      </c>
      <c r="H7" s="727">
        <v>67599.96159390721</v>
      </c>
      <c r="I7" s="729">
        <v>68696.572300394633</v>
      </c>
      <c r="J7" s="728">
        <v>71269.225402021868</v>
      </c>
      <c r="K7" s="727">
        <v>68949.326174828399</v>
      </c>
      <c r="L7" s="728">
        <v>67391.350673871697</v>
      </c>
      <c r="M7" s="727">
        <v>65860.428313614349</v>
      </c>
      <c r="N7" s="727">
        <v>66121.899024612852</v>
      </c>
      <c r="O7" s="730">
        <f>SUM(C7:N7)</f>
        <v>812034</v>
      </c>
    </row>
    <row r="8" spans="1:15" x14ac:dyDescent="0.2">
      <c r="A8" s="700" t="s">
        <v>149</v>
      </c>
      <c r="B8" s="712">
        <v>5.7799999999999997E-2</v>
      </c>
      <c r="C8" s="727">
        <v>83565.812532257987</v>
      </c>
      <c r="D8" s="728">
        <v>127492.56596809882</v>
      </c>
      <c r="E8" s="727">
        <v>87648.047021866951</v>
      </c>
      <c r="F8" s="728">
        <v>99562.675314820954</v>
      </c>
      <c r="G8" s="727">
        <v>94857.667454023816</v>
      </c>
      <c r="H8" s="727">
        <v>99169.486805275053</v>
      </c>
      <c r="I8" s="727">
        <v>100778.22027824391</v>
      </c>
      <c r="J8" s="728">
        <v>104552.31543748386</v>
      </c>
      <c r="K8" s="727">
        <v>101149.01149505284</v>
      </c>
      <c r="L8" s="728">
        <v>98863.453526644254</v>
      </c>
      <c r="M8" s="727">
        <v>96617.582652967249</v>
      </c>
      <c r="N8" s="727">
        <v>97001.161513264538</v>
      </c>
      <c r="O8" s="730">
        <f t="shared" ref="O8:O26" si="0">SUM(C8:N8)</f>
        <v>1191258.0000000002</v>
      </c>
    </row>
    <row r="9" spans="1:15" x14ac:dyDescent="0.2">
      <c r="A9" s="700" t="s">
        <v>150</v>
      </c>
      <c r="B9" s="712">
        <v>6.1199999999999997E-2</v>
      </c>
      <c r="C9" s="727">
        <v>88481.44856356729</v>
      </c>
      <c r="D9" s="728">
        <v>134992.12867210462</v>
      </c>
      <c r="E9" s="727">
        <v>92803.814493741476</v>
      </c>
      <c r="F9" s="728">
        <v>105419.30327451631</v>
      </c>
      <c r="G9" s="727">
        <v>100437.53024543698</v>
      </c>
      <c r="H9" s="727">
        <v>105002.98602911476</v>
      </c>
      <c r="I9" s="727">
        <v>106706.3508828465</v>
      </c>
      <c r="J9" s="728">
        <v>110702.45163968879</v>
      </c>
      <c r="K9" s="727">
        <v>107098.95334770301</v>
      </c>
      <c r="L9" s="728">
        <v>104678.95079291746</v>
      </c>
      <c r="M9" s="727">
        <v>102300.96986784769</v>
      </c>
      <c r="N9" s="727">
        <v>102707.1121905154</v>
      </c>
      <c r="O9" s="730">
        <f t="shared" si="0"/>
        <v>1261332.0000000005</v>
      </c>
    </row>
    <row r="10" spans="1:15" x14ac:dyDescent="0.2">
      <c r="A10" s="700" t="s">
        <v>288</v>
      </c>
      <c r="B10" s="712">
        <v>5.0799999999999998E-2</v>
      </c>
      <c r="C10" s="727">
        <v>73445.385408974151</v>
      </c>
      <c r="D10" s="728">
        <v>112052.28981279273</v>
      </c>
      <c r="E10" s="727">
        <v>77033.231638595869</v>
      </c>
      <c r="F10" s="728">
        <v>87504.911868389361</v>
      </c>
      <c r="G10" s="727">
        <v>83369.714648173191</v>
      </c>
      <c r="H10" s="727">
        <v>87159.341344428598</v>
      </c>
      <c r="I10" s="727">
        <v>88573.245504062128</v>
      </c>
      <c r="J10" s="728">
        <v>91890.270315297239</v>
      </c>
      <c r="K10" s="727">
        <v>88899.131210184845</v>
      </c>
      <c r="L10" s="728">
        <v>86890.370919611218</v>
      </c>
      <c r="M10" s="727">
        <v>84916.491328213437</v>
      </c>
      <c r="N10" s="727">
        <v>85253.616001277493</v>
      </c>
      <c r="O10" s="730">
        <f t="shared" si="0"/>
        <v>1046988.0000000002</v>
      </c>
    </row>
    <row r="11" spans="1:15" x14ac:dyDescent="0.2">
      <c r="A11" s="700" t="s">
        <v>152</v>
      </c>
      <c r="B11" s="712">
        <v>3.0700000000000002E-2</v>
      </c>
      <c r="C11" s="727">
        <v>44385.301812116275</v>
      </c>
      <c r="D11" s="728">
        <v>67716.63970969955</v>
      </c>
      <c r="E11" s="727">
        <v>46553.54746663176</v>
      </c>
      <c r="F11" s="728">
        <v>52881.905400778611</v>
      </c>
      <c r="G11" s="727">
        <v>50382.878734230646</v>
      </c>
      <c r="H11" s="727">
        <v>52673.066521140907</v>
      </c>
      <c r="I11" s="727">
        <v>53527.532223911563</v>
      </c>
      <c r="J11" s="728">
        <v>55532.112178732787</v>
      </c>
      <c r="K11" s="727">
        <v>53724.474963635337</v>
      </c>
      <c r="L11" s="728">
        <v>52510.519433702058</v>
      </c>
      <c r="M11" s="727">
        <v>51317.643381420326</v>
      </c>
      <c r="N11" s="727">
        <v>51521.378174000376</v>
      </c>
      <c r="O11" s="730">
        <f t="shared" si="0"/>
        <v>632727.00000000023</v>
      </c>
    </row>
    <row r="12" spans="1:15" x14ac:dyDescent="0.2">
      <c r="A12" s="700" t="s">
        <v>289</v>
      </c>
      <c r="B12" s="712">
        <v>9.5100000000000004E-2</v>
      </c>
      <c r="C12" s="727">
        <v>137493.23134632761</v>
      </c>
      <c r="D12" s="728">
        <v>209767.18033851555</v>
      </c>
      <c r="E12" s="727">
        <v>144209.84899272575</v>
      </c>
      <c r="F12" s="728">
        <v>163813.32910794936</v>
      </c>
      <c r="G12" s="727">
        <v>156072.0445480565</v>
      </c>
      <c r="H12" s="727">
        <v>163166.40476092836</v>
      </c>
      <c r="I12" s="727">
        <v>165813.30014638402</v>
      </c>
      <c r="J12" s="728">
        <v>172022.92730284977</v>
      </c>
      <c r="K12" s="727">
        <v>166423.37358442086</v>
      </c>
      <c r="L12" s="728">
        <v>162662.87941840605</v>
      </c>
      <c r="M12" s="727">
        <v>158967.68356915549</v>
      </c>
      <c r="N12" s="727">
        <v>159598.7968842813</v>
      </c>
      <c r="O12" s="730">
        <f t="shared" si="0"/>
        <v>1960011.0000000005</v>
      </c>
    </row>
    <row r="13" spans="1:15" x14ac:dyDescent="0.2">
      <c r="A13" s="700" t="s">
        <v>154</v>
      </c>
      <c r="B13" s="712">
        <v>9.3299999999999994E-2</v>
      </c>
      <c r="C13" s="727">
        <v>134890.83580034031</v>
      </c>
      <c r="D13" s="728">
        <v>205796.82361286538</v>
      </c>
      <c r="E13" s="727">
        <v>141480.32503702745</v>
      </c>
      <c r="F13" s="728">
        <v>160712.76136458124</v>
      </c>
      <c r="G13" s="727">
        <v>153117.99954083774</v>
      </c>
      <c r="H13" s="727">
        <v>160078.08164242495</v>
      </c>
      <c r="I13" s="727">
        <v>162674.87806159441</v>
      </c>
      <c r="J13" s="728">
        <v>168766.9728428589</v>
      </c>
      <c r="K13" s="727">
        <v>163273.40436831192</v>
      </c>
      <c r="L13" s="728">
        <v>159584.08674802611</v>
      </c>
      <c r="M13" s="727">
        <v>155958.83151421876</v>
      </c>
      <c r="N13" s="727">
        <v>156577.99946691317</v>
      </c>
      <c r="O13" s="730">
        <f t="shared" si="0"/>
        <v>1922913.0000000005</v>
      </c>
    </row>
    <row r="14" spans="1:15" x14ac:dyDescent="0.2">
      <c r="A14" s="700" t="s">
        <v>155</v>
      </c>
      <c r="B14" s="712">
        <v>4.5199999999999997E-2</v>
      </c>
      <c r="C14" s="727">
        <v>65349.043710347076</v>
      </c>
      <c r="D14" s="728">
        <v>99700.068888547859</v>
      </c>
      <c r="E14" s="727">
        <v>68541.379331978998</v>
      </c>
      <c r="F14" s="728">
        <v>77858.701111244067</v>
      </c>
      <c r="G14" s="727">
        <v>74179.352403492667</v>
      </c>
      <c r="H14" s="727">
        <v>77551.224975751422</v>
      </c>
      <c r="I14" s="727">
        <v>78809.265684716695</v>
      </c>
      <c r="J14" s="728">
        <v>81760.634217547937</v>
      </c>
      <c r="K14" s="727">
        <v>79099.226982290449</v>
      </c>
      <c r="L14" s="728">
        <v>77311.90483398478</v>
      </c>
      <c r="M14" s="727">
        <v>75555.618268410384</v>
      </c>
      <c r="N14" s="727">
        <v>75855.579591687841</v>
      </c>
      <c r="O14" s="730">
        <f t="shared" si="0"/>
        <v>931572.00000000035</v>
      </c>
    </row>
    <row r="15" spans="1:15" x14ac:dyDescent="0.2">
      <c r="A15" s="700" t="s">
        <v>156</v>
      </c>
      <c r="B15" s="712">
        <v>5.0799999999999998E-2</v>
      </c>
      <c r="C15" s="727">
        <v>73445.385408974151</v>
      </c>
      <c r="D15" s="728">
        <v>112052.28981279273</v>
      </c>
      <c r="E15" s="727">
        <v>77033.231638595869</v>
      </c>
      <c r="F15" s="728">
        <v>87504.911868389361</v>
      </c>
      <c r="G15" s="727">
        <v>83369.714648173191</v>
      </c>
      <c r="H15" s="727">
        <v>87159.341344428598</v>
      </c>
      <c r="I15" s="727">
        <v>88573.245504062128</v>
      </c>
      <c r="J15" s="728">
        <v>91890.270315297239</v>
      </c>
      <c r="K15" s="727">
        <v>88899.131210184845</v>
      </c>
      <c r="L15" s="728">
        <v>86890.370919611218</v>
      </c>
      <c r="M15" s="727">
        <v>84916.491328213437</v>
      </c>
      <c r="N15" s="727">
        <v>85253.616001277493</v>
      </c>
      <c r="O15" s="730">
        <f t="shared" si="0"/>
        <v>1046988.0000000002</v>
      </c>
    </row>
    <row r="16" spans="1:15" x14ac:dyDescent="0.2">
      <c r="A16" s="700" t="s">
        <v>157</v>
      </c>
      <c r="B16" s="712">
        <v>8.9200000000000002E-2</v>
      </c>
      <c r="C16" s="727">
        <v>128963.15705670265</v>
      </c>
      <c r="D16" s="728">
        <v>196753.23329332899</v>
      </c>
      <c r="E16" s="727">
        <v>135263.07602682582</v>
      </c>
      <c r="F16" s="728">
        <v>153650.35706024274</v>
      </c>
      <c r="G16" s="727">
        <v>146389.34146883953</v>
      </c>
      <c r="H16" s="727">
        <v>153043.5678725006</v>
      </c>
      <c r="I16" s="727">
        <v>155526.24997957365</v>
      </c>
      <c r="J16" s="728">
        <v>161350.6321284353</v>
      </c>
      <c r="K16" s="727">
        <v>156098.47448717497</v>
      </c>
      <c r="L16" s="728">
        <v>152571.28122104963</v>
      </c>
      <c r="M16" s="727">
        <v>149105.33516686296</v>
      </c>
      <c r="N16" s="727">
        <v>149697.29423846363</v>
      </c>
      <c r="O16" s="730">
        <f t="shared" si="0"/>
        <v>1838412.0000000005</v>
      </c>
    </row>
    <row r="17" spans="1:15" x14ac:dyDescent="0.2">
      <c r="A17" s="700" t="s">
        <v>158</v>
      </c>
      <c r="B17" s="712">
        <v>5.0200000000000002E-2</v>
      </c>
      <c r="C17" s="727">
        <v>72577.9202269784</v>
      </c>
      <c r="D17" s="728">
        <v>110728.83757090935</v>
      </c>
      <c r="E17" s="727">
        <v>76123.390320029779</v>
      </c>
      <c r="F17" s="728">
        <v>86471.389287266647</v>
      </c>
      <c r="G17" s="727">
        <v>82385.032979100273</v>
      </c>
      <c r="H17" s="727">
        <v>86129.900304927476</v>
      </c>
      <c r="I17" s="727">
        <v>87527.104809132259</v>
      </c>
      <c r="J17" s="728">
        <v>90804.952161966954</v>
      </c>
      <c r="K17" s="727">
        <v>87849.141471481882</v>
      </c>
      <c r="L17" s="728">
        <v>85864.106696151255</v>
      </c>
      <c r="M17" s="727">
        <v>83913.540643234548</v>
      </c>
      <c r="N17" s="727">
        <v>84246.683528821464</v>
      </c>
      <c r="O17" s="730">
        <f t="shared" si="0"/>
        <v>1034622.0000000002</v>
      </c>
    </row>
    <row r="18" spans="1:15" x14ac:dyDescent="0.2">
      <c r="A18" s="700" t="s">
        <v>159</v>
      </c>
      <c r="B18" s="712">
        <v>4.2900000000000001E-2</v>
      </c>
      <c r="C18" s="727">
        <v>62023.760512696681</v>
      </c>
      <c r="D18" s="728">
        <v>94626.835294661578</v>
      </c>
      <c r="E18" s="727">
        <v>65053.654277475653</v>
      </c>
      <c r="F18" s="728">
        <v>73896.864550273691</v>
      </c>
      <c r="G18" s="727">
        <v>70404.739338713189</v>
      </c>
      <c r="H18" s="727">
        <v>73605.034324330452</v>
      </c>
      <c r="I18" s="727">
        <v>74799.05968748554</v>
      </c>
      <c r="J18" s="728">
        <v>77600.247963115195</v>
      </c>
      <c r="K18" s="727">
        <v>75074.266317262402</v>
      </c>
      <c r="L18" s="728">
        <v>73377.891977388223</v>
      </c>
      <c r="M18" s="727">
        <v>71710.973975991277</v>
      </c>
      <c r="N18" s="727">
        <v>71995.671780606383</v>
      </c>
      <c r="O18" s="730">
        <f t="shared" si="0"/>
        <v>884169.00000000023</v>
      </c>
    </row>
    <row r="19" spans="1:15" x14ac:dyDescent="0.2">
      <c r="A19" s="700" t="s">
        <v>160</v>
      </c>
      <c r="B19" s="712">
        <v>3.04E-2</v>
      </c>
      <c r="C19" s="727">
        <v>43951.569221118392</v>
      </c>
      <c r="D19" s="728">
        <v>67054.91358875786</v>
      </c>
      <c r="E19" s="727">
        <v>46098.626807348708</v>
      </c>
      <c r="F19" s="728">
        <v>52365.144110217254</v>
      </c>
      <c r="G19" s="727">
        <v>49890.537899694187</v>
      </c>
      <c r="H19" s="727">
        <v>52158.346001390346</v>
      </c>
      <c r="I19" s="727">
        <v>53004.461876446629</v>
      </c>
      <c r="J19" s="728">
        <v>54989.453102067637</v>
      </c>
      <c r="K19" s="727">
        <v>53199.480094283848</v>
      </c>
      <c r="L19" s="728">
        <v>51997.38732197207</v>
      </c>
      <c r="M19" s="727">
        <v>50816.168038930875</v>
      </c>
      <c r="N19" s="727">
        <v>51017.911937772355</v>
      </c>
      <c r="O19" s="730">
        <f t="shared" si="0"/>
        <v>626544.00000000023</v>
      </c>
    </row>
    <row r="20" spans="1:15" x14ac:dyDescent="0.2">
      <c r="A20" s="700" t="s">
        <v>290</v>
      </c>
      <c r="B20" s="712">
        <v>6.7000000000000004E-2</v>
      </c>
      <c r="C20" s="727">
        <v>96866.94532285961</v>
      </c>
      <c r="D20" s="728">
        <v>147785.50034364397</v>
      </c>
      <c r="E20" s="727">
        <v>101598.94723988039</v>
      </c>
      <c r="F20" s="728">
        <v>115410.02155870252</v>
      </c>
      <c r="G20" s="727">
        <v>109956.1197131418</v>
      </c>
      <c r="H20" s="727">
        <v>114954.24941095899</v>
      </c>
      <c r="I20" s="727">
        <v>116819.04426716856</v>
      </c>
      <c r="J20" s="728">
        <v>121193.86045521488</v>
      </c>
      <c r="K20" s="727">
        <v>117248.85415516507</v>
      </c>
      <c r="L20" s="728">
        <v>114599.50495303056</v>
      </c>
      <c r="M20" s="727">
        <v>111996.15982264372</v>
      </c>
      <c r="N20" s="727">
        <v>112440.7927575904</v>
      </c>
      <c r="O20" s="730">
        <f t="shared" si="0"/>
        <v>1380870.0000000002</v>
      </c>
    </row>
    <row r="21" spans="1:15" x14ac:dyDescent="0.2">
      <c r="A21" s="700" t="s">
        <v>291</v>
      </c>
      <c r="B21" s="712">
        <v>5.0799999999999998E-2</v>
      </c>
      <c r="C21" s="727">
        <v>73445.385408974151</v>
      </c>
      <c r="D21" s="728">
        <v>112052.28981279273</v>
      </c>
      <c r="E21" s="727">
        <v>77033.231638595869</v>
      </c>
      <c r="F21" s="728">
        <v>87504.911868389361</v>
      </c>
      <c r="G21" s="727">
        <v>83369.714648173191</v>
      </c>
      <c r="H21" s="727">
        <v>87159.341344428598</v>
      </c>
      <c r="I21" s="727">
        <v>88573.245504062128</v>
      </c>
      <c r="J21" s="728">
        <v>91890.270315297239</v>
      </c>
      <c r="K21" s="727">
        <v>88899.131210184845</v>
      </c>
      <c r="L21" s="728">
        <v>86890.370919611218</v>
      </c>
      <c r="M21" s="727">
        <v>84916.491328213437</v>
      </c>
      <c r="N21" s="727">
        <v>85253.616001277493</v>
      </c>
      <c r="O21" s="730">
        <f t="shared" si="0"/>
        <v>1046988.0000000002</v>
      </c>
    </row>
    <row r="22" spans="1:15" x14ac:dyDescent="0.2">
      <c r="A22" s="700" t="s">
        <v>292</v>
      </c>
      <c r="B22" s="712">
        <v>1.7000000000000001E-2</v>
      </c>
      <c r="C22" s="727">
        <v>24578.18015654647</v>
      </c>
      <c r="D22" s="728">
        <v>37497.813520029071</v>
      </c>
      <c r="E22" s="727">
        <v>25778.837359372636</v>
      </c>
      <c r="F22" s="728">
        <v>29283.139798476757</v>
      </c>
      <c r="G22" s="727">
        <v>27899.313957065831</v>
      </c>
      <c r="H22" s="727">
        <v>29167.496119198549</v>
      </c>
      <c r="I22" s="727">
        <v>29640.653023012917</v>
      </c>
      <c r="J22" s="728">
        <v>30750.68101102467</v>
      </c>
      <c r="K22" s="727">
        <v>29749.709263250839</v>
      </c>
      <c r="L22" s="728">
        <v>29077.486331365963</v>
      </c>
      <c r="M22" s="727">
        <v>28416.936074402136</v>
      </c>
      <c r="N22" s="727">
        <v>28529.75338625428</v>
      </c>
      <c r="O22" s="730">
        <f t="shared" si="0"/>
        <v>350370.00000000012</v>
      </c>
    </row>
    <row r="23" spans="1:15" x14ac:dyDescent="0.2">
      <c r="A23" s="700" t="s">
        <v>164</v>
      </c>
      <c r="B23" s="712">
        <v>4.0800000000000003E-2</v>
      </c>
      <c r="C23" s="727">
        <v>58987.632375711531</v>
      </c>
      <c r="D23" s="728">
        <v>89994.752448069761</v>
      </c>
      <c r="E23" s="727">
        <v>61869.20966249433</v>
      </c>
      <c r="F23" s="728">
        <v>70279.535516344215</v>
      </c>
      <c r="G23" s="727">
        <v>66958.353496957992</v>
      </c>
      <c r="H23" s="727">
        <v>70001.990686076519</v>
      </c>
      <c r="I23" s="727">
        <v>71137.567255230999</v>
      </c>
      <c r="J23" s="728">
        <v>73801.634426459204</v>
      </c>
      <c r="K23" s="727">
        <v>71399.302231802008</v>
      </c>
      <c r="L23" s="728">
        <v>69785.96719527831</v>
      </c>
      <c r="M23" s="727">
        <v>68200.646578565123</v>
      </c>
      <c r="N23" s="727">
        <v>68471.408127010276</v>
      </c>
      <c r="O23" s="730">
        <f t="shared" si="0"/>
        <v>840888.00000000023</v>
      </c>
    </row>
    <row r="24" spans="1:15" x14ac:dyDescent="0.2">
      <c r="A24" s="700" t="s">
        <v>165</v>
      </c>
      <c r="B24" s="712">
        <v>3.7000000000000002E-3</v>
      </c>
      <c r="C24" s="727">
        <v>5349.3686223071727</v>
      </c>
      <c r="D24" s="728">
        <v>8161.2888249475027</v>
      </c>
      <c r="E24" s="727">
        <v>5610.6881311575735</v>
      </c>
      <c r="F24" s="728">
        <v>6373.389250256706</v>
      </c>
      <c r="G24" s="727">
        <v>6072.2036259496217</v>
      </c>
      <c r="H24" s="727">
        <v>6348.2197435902726</v>
      </c>
      <c r="I24" s="727">
        <v>6451.2009520675174</v>
      </c>
      <c r="J24" s="728">
        <v>6692.795278870075</v>
      </c>
      <c r="K24" s="727">
        <v>6474.9367220016529</v>
      </c>
      <c r="L24" s="728">
        <v>6328.6293780031801</v>
      </c>
      <c r="M24" s="727">
        <v>6184.8625573698764</v>
      </c>
      <c r="N24" s="727">
        <v>6209.4169134788726</v>
      </c>
      <c r="O24" s="730">
        <f t="shared" si="0"/>
        <v>76257.000000000015</v>
      </c>
    </row>
    <row r="25" spans="1:15" x14ac:dyDescent="0.2">
      <c r="A25" s="700" t="s">
        <v>166</v>
      </c>
      <c r="B25" s="712">
        <v>3.7699999999999997E-2</v>
      </c>
      <c r="C25" s="727">
        <v>54505.728935400104</v>
      </c>
      <c r="D25" s="728">
        <v>83156.91586500562</v>
      </c>
      <c r="E25" s="727">
        <v>57168.362849902842</v>
      </c>
      <c r="F25" s="728">
        <v>64939.668847210211</v>
      </c>
      <c r="G25" s="727">
        <v>61870.831540081279</v>
      </c>
      <c r="H25" s="727">
        <v>64683.211981987362</v>
      </c>
      <c r="I25" s="727">
        <v>65732.506998093348</v>
      </c>
      <c r="J25" s="728">
        <v>68194.157300919396</v>
      </c>
      <c r="K25" s="727">
        <v>65974.355248503314</v>
      </c>
      <c r="L25" s="728">
        <v>64483.602040735095</v>
      </c>
      <c r="M25" s="727">
        <v>63018.734706174146</v>
      </c>
      <c r="N25" s="727">
        <v>63268.923685987422</v>
      </c>
      <c r="O25" s="730">
        <f t="shared" si="0"/>
        <v>776997</v>
      </c>
    </row>
    <row r="26" spans="1:15" ht="13.5" thickBot="1" x14ac:dyDescent="0.25">
      <c r="A26" s="700" t="s">
        <v>167</v>
      </c>
      <c r="B26" s="713">
        <v>4.5999999999999999E-2</v>
      </c>
      <c r="C26" s="727">
        <v>66505.663953008087</v>
      </c>
      <c r="D26" s="728">
        <v>101464.6718777257</v>
      </c>
      <c r="E26" s="727">
        <v>69754.501090067133</v>
      </c>
      <c r="F26" s="728">
        <v>79236.73121940768</v>
      </c>
      <c r="G26" s="727">
        <v>75492.261295589895</v>
      </c>
      <c r="H26" s="727">
        <v>78923.813028419594</v>
      </c>
      <c r="I26" s="733">
        <v>80204.119944623177</v>
      </c>
      <c r="J26" s="728">
        <v>83207.725088654974</v>
      </c>
      <c r="K26" s="727">
        <v>80499.213300561081</v>
      </c>
      <c r="L26" s="728">
        <v>78680.257131931416</v>
      </c>
      <c r="M26" s="727">
        <v>76892.885848382241</v>
      </c>
      <c r="N26" s="727">
        <v>77198.156221629222</v>
      </c>
      <c r="O26" s="730">
        <f t="shared" si="0"/>
        <v>948060.00000000023</v>
      </c>
    </row>
    <row r="27" spans="1:15" ht="13.5" thickBot="1" x14ac:dyDescent="0.25">
      <c r="A27" s="705" t="s">
        <v>293</v>
      </c>
      <c r="B27" s="706">
        <f>SUM(B7:B26)</f>
        <v>1</v>
      </c>
      <c r="C27" s="735">
        <f>SUM(C7:C26)</f>
        <v>1445775.3033262629</v>
      </c>
      <c r="D27" s="735">
        <f t="shared" ref="D27:O27" si="1">SUM(D7:D26)</f>
        <v>2205753.7364722979</v>
      </c>
      <c r="E27" s="735">
        <f t="shared" si="1"/>
        <v>1516402.197610155</v>
      </c>
      <c r="F27" s="735">
        <f t="shared" si="1"/>
        <v>1722537.6352045152</v>
      </c>
      <c r="G27" s="735">
        <f t="shared" si="1"/>
        <v>1641136.1151215194</v>
      </c>
      <c r="H27" s="735">
        <f t="shared" si="1"/>
        <v>1715735.0658352086</v>
      </c>
      <c r="I27" s="735">
        <f t="shared" si="1"/>
        <v>1743567.8248831125</v>
      </c>
      <c r="J27" s="735">
        <f t="shared" si="1"/>
        <v>1808863.5888838039</v>
      </c>
      <c r="K27" s="735">
        <f t="shared" si="1"/>
        <v>1749982.8978382845</v>
      </c>
      <c r="L27" s="735">
        <f t="shared" si="1"/>
        <v>1710440.3724332915</v>
      </c>
      <c r="M27" s="735">
        <f t="shared" si="1"/>
        <v>1671584.474964832</v>
      </c>
      <c r="N27" s="735">
        <f t="shared" si="1"/>
        <v>1678220.787426722</v>
      </c>
      <c r="O27" s="735">
        <f t="shared" si="1"/>
        <v>20610000.000000004</v>
      </c>
    </row>
    <row r="28" spans="1:15" hidden="1" x14ac:dyDescent="0.2">
      <c r="A28" s="716" t="s">
        <v>408</v>
      </c>
      <c r="B28" s="716"/>
      <c r="C28" s="717">
        <f>'[2]PRESUPUSTO ESTATAL 2017'!B52</f>
        <v>1521250.4468291907</v>
      </c>
      <c r="D28" s="717">
        <f>'[2]PRESUPUSTO ESTATAL 2017'!C52</f>
        <v>1992155.4322061262</v>
      </c>
      <c r="E28" s="717">
        <f>'[2]PRESUPUSTO ESTATAL 2017'!D52</f>
        <v>1561223.5204092669</v>
      </c>
      <c r="F28" s="717">
        <f>'[2]PRESUPUSTO ESTATAL 2017'!E52</f>
        <v>1709133.4840227321</v>
      </c>
      <c r="G28" s="717">
        <f>'[2]PRESUPUSTO ESTATAL 2017'!F52</f>
        <v>1794276.5472658337</v>
      </c>
      <c r="H28" s="717">
        <f>'[2]PRESUPUSTO ESTATAL 2017'!G52</f>
        <v>1664193.9164477964</v>
      </c>
      <c r="I28" s="717">
        <f>'[2]PRESUPUSTO ESTATAL 2017'!H52</f>
        <v>1722567.8942233375</v>
      </c>
      <c r="J28" s="717">
        <f>'[2]PRESUPUSTO ESTATAL 2017'!I52</f>
        <v>1774773.0179705636</v>
      </c>
      <c r="K28" s="717">
        <f>'[2]PRESUPUSTO ESTATAL 2017'!J52</f>
        <v>1814273.0193366187</v>
      </c>
      <c r="L28" s="717">
        <f>'[2]PRESUPUSTO ESTATAL 2017'!K52</f>
        <v>1772942.0603667807</v>
      </c>
      <c r="M28" s="717">
        <f>'[2]PRESUPUSTO ESTATAL 2017'!L52</f>
        <v>1696337.0334839264</v>
      </c>
      <c r="N28" s="717">
        <f>'[2]PRESUPUSTO ESTATAL 2017'!M52</f>
        <v>1676873.6274378267</v>
      </c>
      <c r="O28" s="717">
        <f>SUM(C28:N28)</f>
        <v>20700000</v>
      </c>
    </row>
    <row r="29" spans="1:15" hidden="1" x14ac:dyDescent="0.2">
      <c r="A29" s="718" t="s">
        <v>409</v>
      </c>
      <c r="B29" s="718"/>
      <c r="C29" s="719">
        <f>C28-C27</f>
        <v>75475.143502927851</v>
      </c>
      <c r="D29" s="719">
        <f t="shared" ref="D29:O29" si="2">D28-D27</f>
        <v>-213598.30426617176</v>
      </c>
      <c r="E29" s="719">
        <f t="shared" si="2"/>
        <v>44821.322799111949</v>
      </c>
      <c r="F29" s="719">
        <f t="shared" si="2"/>
        <v>-13404.151181783061</v>
      </c>
      <c r="G29" s="719">
        <f t="shared" si="2"/>
        <v>153140.43214431428</v>
      </c>
      <c r="H29" s="719">
        <f t="shared" si="2"/>
        <v>-51541.149387412239</v>
      </c>
      <c r="I29" s="719">
        <f t="shared" si="2"/>
        <v>-20999.930659774924</v>
      </c>
      <c r="J29" s="719">
        <f t="shared" si="2"/>
        <v>-34090.570913240314</v>
      </c>
      <c r="K29" s="719">
        <f t="shared" si="2"/>
        <v>64290.121498334222</v>
      </c>
      <c r="L29" s="719">
        <f t="shared" si="2"/>
        <v>62501.687933489215</v>
      </c>
      <c r="M29" s="719">
        <f t="shared" si="2"/>
        <v>24752.558519094484</v>
      </c>
      <c r="N29" s="719">
        <f t="shared" si="2"/>
        <v>-1347.1599888952915</v>
      </c>
      <c r="O29" s="719">
        <f t="shared" si="2"/>
        <v>89999.999999996275</v>
      </c>
    </row>
    <row r="30" spans="1:15" x14ac:dyDescent="0.2">
      <c r="A30" s="709" t="s">
        <v>294</v>
      </c>
    </row>
    <row r="32" spans="1:15" x14ac:dyDescent="0.2">
      <c r="C32" s="741">
        <v>2625795.3656119597</v>
      </c>
      <c r="D32" s="741">
        <v>3683918.375220194</v>
      </c>
      <c r="E32" s="741">
        <v>3711354.5901933066</v>
      </c>
      <c r="F32" s="741">
        <v>2325286.2566395234</v>
      </c>
      <c r="G32" s="741">
        <v>2774865.8148206621</v>
      </c>
      <c r="H32" s="741">
        <v>2929972.1496531935</v>
      </c>
      <c r="I32" s="741">
        <v>3024439.680759659</v>
      </c>
      <c r="J32" s="741">
        <v>3127502.5525605395</v>
      </c>
      <c r="K32" s="741">
        <v>3906131.117449007</v>
      </c>
      <c r="L32" s="741">
        <v>2580068.1894155578</v>
      </c>
      <c r="M32" s="741">
        <v>2587476.8159215115</v>
      </c>
      <c r="N32" s="741">
        <v>2896776.3667548862</v>
      </c>
      <c r="O32" s="741">
        <f>SUM(C32:N32)</f>
        <v>36173587.274999999</v>
      </c>
    </row>
    <row r="33" spans="3:15" x14ac:dyDescent="0.2">
      <c r="C33" s="741">
        <f>C32-C27</f>
        <v>1180020.0622856969</v>
      </c>
      <c r="D33" s="741">
        <f t="shared" ref="D33:N33" si="3">D32-D27</f>
        <v>1478164.6387478961</v>
      </c>
      <c r="E33" s="741">
        <f t="shared" si="3"/>
        <v>2194952.3925831513</v>
      </c>
      <c r="F33" s="741">
        <f t="shared" si="3"/>
        <v>602748.62143500824</v>
      </c>
      <c r="G33" s="741">
        <f t="shared" si="3"/>
        <v>1133729.6996991427</v>
      </c>
      <c r="H33" s="741">
        <f t="shared" si="3"/>
        <v>1214237.0838179849</v>
      </c>
      <c r="I33" s="741">
        <f t="shared" si="3"/>
        <v>1280871.8558765466</v>
      </c>
      <c r="J33" s="741">
        <f t="shared" si="3"/>
        <v>1318638.9636767355</v>
      </c>
      <c r="K33" s="741">
        <f t="shared" si="3"/>
        <v>2156148.2196107227</v>
      </c>
      <c r="L33" s="741">
        <f t="shared" si="3"/>
        <v>869627.81698226626</v>
      </c>
      <c r="M33" s="741">
        <f t="shared" si="3"/>
        <v>915892.34095667955</v>
      </c>
      <c r="N33" s="741">
        <f t="shared" si="3"/>
        <v>1218555.5793281642</v>
      </c>
      <c r="O33" s="741">
        <f>SUM(C33:N33)</f>
        <v>15563587.274999995</v>
      </c>
    </row>
    <row r="34" spans="3:15" x14ac:dyDescent="0.2">
      <c r="C34" s="704"/>
      <c r="D34" s="704"/>
      <c r="E34" s="704"/>
      <c r="F34" s="704"/>
      <c r="G34" s="704"/>
      <c r="H34" s="704"/>
      <c r="I34" s="704"/>
      <c r="J34" s="704"/>
      <c r="K34" s="704"/>
      <c r="L34" s="704"/>
      <c r="M34" s="704"/>
      <c r="N34" s="704"/>
      <c r="O34" s="704"/>
    </row>
    <row r="38" spans="3:15" x14ac:dyDescent="0.2">
      <c r="K38" s="704"/>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topLeftCell="E1" zoomScaleNormal="100" workbookViewId="0">
      <selection sqref="A1:T1"/>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2" customWidth="1"/>
    <col min="8" max="9" width="18.85546875" style="12"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806" t="s">
        <v>378</v>
      </c>
      <c r="B1" s="806"/>
      <c r="C1" s="806"/>
      <c r="D1" s="806"/>
      <c r="E1" s="806"/>
      <c r="F1" s="806"/>
      <c r="G1" s="806"/>
      <c r="H1" s="806"/>
      <c r="I1" s="806"/>
      <c r="J1" s="806"/>
      <c r="K1" s="806"/>
      <c r="L1" s="806"/>
      <c r="M1" s="806"/>
      <c r="N1" s="806"/>
      <c r="O1" s="806"/>
      <c r="P1" s="806"/>
      <c r="Q1" s="806"/>
      <c r="R1" s="806"/>
      <c r="S1" s="806"/>
      <c r="T1" s="806"/>
    </row>
    <row r="2" spans="1:28" ht="15.75" thickBot="1" x14ac:dyDescent="0.3">
      <c r="A2" s="15"/>
      <c r="B2" s="15"/>
      <c r="C2" s="15"/>
      <c r="D2" s="15"/>
      <c r="E2" s="15"/>
      <c r="F2" s="15"/>
      <c r="G2" s="15"/>
      <c r="H2" s="15"/>
      <c r="I2" s="15"/>
      <c r="J2" s="12"/>
    </row>
    <row r="3" spans="1:28" ht="33.75" customHeight="1" x14ac:dyDescent="0.25">
      <c r="A3" s="833" t="s">
        <v>85</v>
      </c>
      <c r="B3" s="831" t="s">
        <v>247</v>
      </c>
      <c r="C3" s="845" t="s">
        <v>202</v>
      </c>
      <c r="D3" s="824" t="s">
        <v>67</v>
      </c>
      <c r="E3" s="825"/>
      <c r="F3" s="825"/>
      <c r="G3" s="826"/>
      <c r="H3" s="824" t="s">
        <v>68</v>
      </c>
      <c r="I3" s="825"/>
      <c r="J3" s="825"/>
      <c r="K3" s="825"/>
      <c r="L3" s="825"/>
      <c r="M3" s="826"/>
      <c r="N3" s="827" t="s">
        <v>69</v>
      </c>
      <c r="O3" s="828"/>
      <c r="P3" s="828"/>
      <c r="Q3" s="828"/>
      <c r="R3" s="828"/>
      <c r="S3" s="829"/>
      <c r="T3" s="831" t="s">
        <v>263</v>
      </c>
      <c r="U3" s="821" t="s">
        <v>319</v>
      </c>
    </row>
    <row r="4" spans="1:28" ht="15" customHeight="1" x14ac:dyDescent="0.25">
      <c r="A4" s="834"/>
      <c r="B4" s="832"/>
      <c r="C4" s="846"/>
      <c r="D4" s="527" t="s">
        <v>70</v>
      </c>
      <c r="E4" s="822" t="s">
        <v>249</v>
      </c>
      <c r="F4" s="528" t="s">
        <v>140</v>
      </c>
      <c r="G4" s="842" t="s">
        <v>207</v>
      </c>
      <c r="H4" s="835" t="s">
        <v>262</v>
      </c>
      <c r="I4" s="836"/>
      <c r="J4" s="836"/>
      <c r="K4" s="822" t="s">
        <v>205</v>
      </c>
      <c r="L4" s="528" t="s">
        <v>23</v>
      </c>
      <c r="M4" s="842" t="s">
        <v>252</v>
      </c>
      <c r="N4" s="840" t="s">
        <v>250</v>
      </c>
      <c r="O4" s="830" t="s">
        <v>255</v>
      </c>
      <c r="P4" s="830" t="s">
        <v>257</v>
      </c>
      <c r="Q4" s="830" t="s">
        <v>258</v>
      </c>
      <c r="R4" s="830" t="s">
        <v>208</v>
      </c>
      <c r="S4" s="842" t="s">
        <v>261</v>
      </c>
      <c r="T4" s="832"/>
      <c r="U4" s="821"/>
    </row>
    <row r="5" spans="1:28" x14ac:dyDescent="0.25">
      <c r="A5" s="834"/>
      <c r="B5" s="832"/>
      <c r="C5" s="846"/>
      <c r="D5" s="529" t="s">
        <v>71</v>
      </c>
      <c r="E5" s="823"/>
      <c r="F5" s="530" t="s">
        <v>144</v>
      </c>
      <c r="G5" s="843"/>
      <c r="H5" s="837"/>
      <c r="I5" s="838"/>
      <c r="J5" s="838"/>
      <c r="K5" s="839"/>
      <c r="L5" s="530" t="s">
        <v>206</v>
      </c>
      <c r="M5" s="843"/>
      <c r="N5" s="841"/>
      <c r="O5" s="844"/>
      <c r="P5" s="844"/>
      <c r="Q5" s="844"/>
      <c r="R5" s="823"/>
      <c r="S5" s="843"/>
      <c r="T5" s="832"/>
      <c r="U5" s="821"/>
    </row>
    <row r="6" spans="1:28" x14ac:dyDescent="0.25">
      <c r="A6" s="834"/>
      <c r="B6" s="832"/>
      <c r="C6" s="846"/>
      <c r="D6" s="529" t="s">
        <v>39</v>
      </c>
      <c r="E6" s="530" t="s">
        <v>38</v>
      </c>
      <c r="F6" s="531">
        <v>0.6</v>
      </c>
      <c r="G6" s="843"/>
      <c r="H6" s="535">
        <v>2017</v>
      </c>
      <c r="I6" s="652">
        <v>2018</v>
      </c>
      <c r="J6" s="536" t="s">
        <v>204</v>
      </c>
      <c r="K6" s="839"/>
      <c r="L6" s="531">
        <v>0.3</v>
      </c>
      <c r="M6" s="843"/>
      <c r="N6" s="841"/>
      <c r="O6" s="844"/>
      <c r="P6" s="844"/>
      <c r="Q6" s="844"/>
      <c r="R6" s="823"/>
      <c r="S6" s="843"/>
      <c r="T6" s="832"/>
      <c r="U6" s="821"/>
    </row>
    <row r="7" spans="1:28" ht="15.75" thickBot="1" x14ac:dyDescent="0.3">
      <c r="A7" s="834"/>
      <c r="B7" s="370" t="s">
        <v>72</v>
      </c>
      <c r="C7" s="370" t="s">
        <v>99</v>
      </c>
      <c r="D7" s="532" t="s">
        <v>73</v>
      </c>
      <c r="E7" s="533" t="s">
        <v>74</v>
      </c>
      <c r="F7" s="533" t="s">
        <v>75</v>
      </c>
      <c r="G7" s="534" t="s">
        <v>102</v>
      </c>
      <c r="H7" s="532" t="s">
        <v>76</v>
      </c>
      <c r="I7" s="533" t="s">
        <v>77</v>
      </c>
      <c r="J7" s="533" t="s">
        <v>203</v>
      </c>
      <c r="K7" s="537" t="s">
        <v>79</v>
      </c>
      <c r="L7" s="533" t="s">
        <v>80</v>
      </c>
      <c r="M7" s="534" t="s">
        <v>251</v>
      </c>
      <c r="N7" s="532" t="s">
        <v>253</v>
      </c>
      <c r="O7" s="533" t="s">
        <v>254</v>
      </c>
      <c r="P7" s="533" t="s">
        <v>256</v>
      </c>
      <c r="Q7" s="533" t="s">
        <v>259</v>
      </c>
      <c r="R7" s="538" t="s">
        <v>81</v>
      </c>
      <c r="S7" s="539" t="s">
        <v>260</v>
      </c>
      <c r="T7" s="369" t="s">
        <v>264</v>
      </c>
      <c r="U7" s="821"/>
      <c r="W7" s="81"/>
    </row>
    <row r="8" spans="1:28" s="6" customFormat="1" ht="16.5" customHeight="1" x14ac:dyDescent="0.25">
      <c r="A8" s="82" t="s">
        <v>46</v>
      </c>
      <c r="B8" s="83">
        <v>3.62</v>
      </c>
      <c r="C8" s="84">
        <f>$C$28*B8/100</f>
        <v>35350314.18282</v>
      </c>
      <c r="D8" s="85">
        <f>'CENSO 2015'!C10</f>
        <v>37309</v>
      </c>
      <c r="E8" s="86">
        <f>D8/$D$28*100</f>
        <v>3.1589687142796663</v>
      </c>
      <c r="F8" s="87">
        <f>E8*0.6</f>
        <v>1.8953812285677998</v>
      </c>
      <c r="G8" s="88">
        <f>Datos!$I$12*FGP!F8/100</f>
        <v>9371339.4314554725</v>
      </c>
      <c r="H8" s="89">
        <f>'Predial y Agua'!D9</f>
        <v>10764713</v>
      </c>
      <c r="I8" s="90">
        <f>'Predial y Agua'!G9</f>
        <v>11206191</v>
      </c>
      <c r="J8" s="86">
        <f>I8/H8</f>
        <v>1.0410115903693855</v>
      </c>
      <c r="K8" s="86">
        <f>J8/$J$28*100</f>
        <v>4.2250308776269785</v>
      </c>
      <c r="L8" s="86">
        <f>K8*0.3</f>
        <v>1.2675092632880935</v>
      </c>
      <c r="M8" s="91">
        <f>Datos!$I$12*FGP!L8/100</f>
        <v>6266950.0783028826</v>
      </c>
      <c r="N8" s="92">
        <f>G8+M8</f>
        <v>15638289.509758355</v>
      </c>
      <c r="O8" s="86">
        <f>L8+F8</f>
        <v>3.1628904918558933</v>
      </c>
      <c r="P8" s="86">
        <f>MINVERSE(O8)</f>
        <v>0.31616649472212005</v>
      </c>
      <c r="Q8" s="86">
        <f>P8/P$28*100</f>
        <v>5.0078061032905623</v>
      </c>
      <c r="R8" s="86">
        <f>Q8*0.1</f>
        <v>0.5007806103290563</v>
      </c>
      <c r="S8" s="93">
        <f>Datos!$I$12*FGP!R8/100</f>
        <v>2476011.1630055378</v>
      </c>
      <c r="T8" s="94">
        <f>C8+G8+M8+S8</f>
        <v>53464614.855583891</v>
      </c>
      <c r="U8" s="95">
        <f>R8+L8+F8</f>
        <v>3.6636711021849497</v>
      </c>
      <c r="V8" s="96"/>
      <c r="W8" s="97">
        <v>0.97425313870244945</v>
      </c>
      <c r="X8" s="97">
        <f t="shared" ref="X8:X27" si="0">J8-W8</f>
        <v>6.6758451666936058E-2</v>
      </c>
      <c r="Y8" s="98"/>
      <c r="Z8" s="98"/>
      <c r="AA8" s="96"/>
      <c r="AB8" s="96"/>
    </row>
    <row r="9" spans="1:28" s="6" customFormat="1" ht="16.5" customHeight="1" x14ac:dyDescent="0.25">
      <c r="A9" s="82" t="s">
        <v>47</v>
      </c>
      <c r="B9" s="99">
        <v>2.4700000000000002</v>
      </c>
      <c r="C9" s="84">
        <f t="shared" ref="C9:C27" si="1">$C$28*B9/100</f>
        <v>24120241.997670002</v>
      </c>
      <c r="D9" s="85">
        <f>'CENSO 2015'!C11</f>
        <v>15953</v>
      </c>
      <c r="E9" s="86">
        <f t="shared" ref="E9:E27" si="2">D9/$D$28*100</f>
        <v>1.3507472164599297</v>
      </c>
      <c r="F9" s="87">
        <f t="shared" ref="F9:F27" si="3">E9*0.6</f>
        <v>0.81044832987595783</v>
      </c>
      <c r="G9" s="88">
        <f>Datos!$I$12*FGP!F9/100</f>
        <v>4007102.2528078789</v>
      </c>
      <c r="H9" s="89">
        <f>'Predial y Agua'!D10</f>
        <v>5967368</v>
      </c>
      <c r="I9" s="90">
        <f>'Predial y Agua'!G10</f>
        <v>6496081</v>
      </c>
      <c r="J9" s="86">
        <f t="shared" ref="J9:J27" si="4">I9/H9</f>
        <v>1.0886007030235105</v>
      </c>
      <c r="K9" s="86">
        <f t="shared" ref="K9:K27" si="5">J9/$J$28*100</f>
        <v>4.4181751925055499</v>
      </c>
      <c r="L9" s="100">
        <f t="shared" ref="L9:L27" si="6">K9*0.3</f>
        <v>1.3254525577516649</v>
      </c>
      <c r="M9" s="91">
        <f>Datos!$I$12*FGP!L9/100</f>
        <v>6553439.2932484234</v>
      </c>
      <c r="N9" s="101">
        <f t="shared" ref="N9:N28" si="7">G9+M9</f>
        <v>10560541.546056302</v>
      </c>
      <c r="O9" s="100">
        <f t="shared" ref="O9:O27" si="8">L9+F9</f>
        <v>2.1359008876276229</v>
      </c>
      <c r="P9" s="100">
        <f t="shared" ref="P9:P27" si="9">MINVERSE(O9)</f>
        <v>0.46818651829426178</v>
      </c>
      <c r="Q9" s="100">
        <f t="shared" ref="Q9:Q27" si="10">P9/P$28*100</f>
        <v>7.4156728904909102</v>
      </c>
      <c r="R9" s="100">
        <f t="shared" ref="R9:R27" si="11">Q9*0.1</f>
        <v>0.74156728904909108</v>
      </c>
      <c r="S9" s="93">
        <f>Datos!$I$12*FGP!R9/100</f>
        <v>3666533.5037608743</v>
      </c>
      <c r="T9" s="94">
        <f t="shared" ref="T9:T27" si="12">C9+G9+M9+S9</f>
        <v>38347317.047487177</v>
      </c>
      <c r="U9" s="95">
        <f t="shared" ref="U9:U28" si="13">R9+L9+F9</f>
        <v>2.8774681766767136</v>
      </c>
      <c r="V9" s="96"/>
      <c r="W9" s="97">
        <v>1.0958106186784708</v>
      </c>
      <c r="X9" s="97">
        <f t="shared" si="0"/>
        <v>-7.2099156549603194E-3</v>
      </c>
      <c r="Y9" s="98"/>
      <c r="Z9" s="98"/>
      <c r="AA9" s="96"/>
      <c r="AB9" s="96"/>
    </row>
    <row r="10" spans="1:28" s="6" customFormat="1" ht="16.5" customHeight="1" x14ac:dyDescent="0.25">
      <c r="A10" s="82" t="s">
        <v>48</v>
      </c>
      <c r="B10" s="99">
        <v>2.33</v>
      </c>
      <c r="C10" s="84">
        <f t="shared" si="1"/>
        <v>22753102.77513</v>
      </c>
      <c r="D10" s="85">
        <f>'CENSO 2015'!C12</f>
        <v>11851</v>
      </c>
      <c r="E10" s="86">
        <f t="shared" si="2"/>
        <v>1.0034291520257399</v>
      </c>
      <c r="F10" s="87">
        <f t="shared" si="3"/>
        <v>0.60205749121544394</v>
      </c>
      <c r="G10" s="88">
        <f>Datos!$I$12*FGP!F10/100</f>
        <v>2976754.767004712</v>
      </c>
      <c r="H10" s="89">
        <f>'Predial y Agua'!D11</f>
        <v>1073953</v>
      </c>
      <c r="I10" s="90">
        <f>'Predial y Agua'!G11</f>
        <v>3306953</v>
      </c>
      <c r="J10" s="86">
        <f t="shared" si="4"/>
        <v>3.0792343799030313</v>
      </c>
      <c r="K10" s="86">
        <f t="shared" si="5"/>
        <v>12.497325154587893</v>
      </c>
      <c r="L10" s="100">
        <f t="shared" si="6"/>
        <v>3.7491975463763678</v>
      </c>
      <c r="M10" s="91">
        <f>Datos!$I$12*FGP!L10/100</f>
        <v>18537169.342561182</v>
      </c>
      <c r="N10" s="101">
        <f t="shared" si="7"/>
        <v>21513924.109565895</v>
      </c>
      <c r="O10" s="100">
        <f t="shared" si="8"/>
        <v>4.3512550375918115</v>
      </c>
      <c r="P10" s="100">
        <f t="shared" si="9"/>
        <v>0.22981875145462557</v>
      </c>
      <c r="Q10" s="100">
        <f t="shared" si="10"/>
        <v>3.6401319096022822</v>
      </c>
      <c r="R10" s="100">
        <f t="shared" si="11"/>
        <v>0.36401319096022822</v>
      </c>
      <c r="S10" s="93">
        <f>Datos!$I$12*FGP!R10/100</f>
        <v>1799791.5768075741</v>
      </c>
      <c r="T10" s="94">
        <f t="shared" si="12"/>
        <v>46066818.461503468</v>
      </c>
      <c r="U10" s="95">
        <f t="shared" si="13"/>
        <v>4.7152682285520395</v>
      </c>
      <c r="V10" s="96"/>
      <c r="W10" s="97">
        <v>1.0258439054458339</v>
      </c>
      <c r="X10" s="97">
        <f t="shared" si="0"/>
        <v>2.0533904744571974</v>
      </c>
      <c r="Y10" s="98"/>
      <c r="Z10" s="98"/>
      <c r="AA10" s="96"/>
      <c r="AB10" s="96"/>
    </row>
    <row r="11" spans="1:28" s="6" customFormat="1" ht="16.5" customHeight="1" x14ac:dyDescent="0.25">
      <c r="A11" s="82" t="s">
        <v>49</v>
      </c>
      <c r="B11" s="99">
        <v>2.81</v>
      </c>
      <c r="C11" s="84">
        <f t="shared" si="1"/>
        <v>27440437.252410002</v>
      </c>
      <c r="D11" s="85">
        <f>'CENSO 2015'!C13</f>
        <v>150250</v>
      </c>
      <c r="E11" s="86">
        <f t="shared" si="2"/>
        <v>12.721730663392744</v>
      </c>
      <c r="F11" s="87">
        <f t="shared" si="3"/>
        <v>7.6330383980356462</v>
      </c>
      <c r="G11" s="88">
        <f>Datos!$I$12*FGP!F11/100</f>
        <v>37740056.007295415</v>
      </c>
      <c r="H11" s="89">
        <f>'Predial y Agua'!D12</f>
        <v>268805705</v>
      </c>
      <c r="I11" s="90">
        <f>'Predial y Agua'!G12</f>
        <v>293520012</v>
      </c>
      <c r="J11" s="86">
        <f t="shared" si="4"/>
        <v>1.0919411550435658</v>
      </c>
      <c r="K11" s="86">
        <f t="shared" si="5"/>
        <v>4.4317326908663102</v>
      </c>
      <c r="L11" s="100">
        <f t="shared" si="6"/>
        <v>1.329519807259893</v>
      </c>
      <c r="M11" s="91">
        <f>Datos!$I$12*FGP!L11/100</f>
        <v>6573549.0079166563</v>
      </c>
      <c r="N11" s="101">
        <f t="shared" si="7"/>
        <v>44313605.015212074</v>
      </c>
      <c r="O11" s="100">
        <f t="shared" si="8"/>
        <v>8.9625582052955401</v>
      </c>
      <c r="P11" s="100">
        <f t="shared" si="9"/>
        <v>0.11157528655257698</v>
      </c>
      <c r="Q11" s="100">
        <f t="shared" si="10"/>
        <v>1.7672568418910855</v>
      </c>
      <c r="R11" s="100">
        <f t="shared" si="11"/>
        <v>0.17672568418910856</v>
      </c>
      <c r="S11" s="93">
        <f>Datos!$I$12*FGP!R11/100</f>
        <v>873785.36192625237</v>
      </c>
      <c r="T11" s="94">
        <f t="shared" si="12"/>
        <v>72627827.629548326</v>
      </c>
      <c r="U11" s="95">
        <f t="shared" si="13"/>
        <v>9.1392838894846484</v>
      </c>
      <c r="V11" s="96"/>
      <c r="W11" s="97">
        <v>1.2368625473905901</v>
      </c>
      <c r="X11" s="97">
        <f t="shared" si="0"/>
        <v>-0.14492139234702428</v>
      </c>
      <c r="Y11" s="98"/>
      <c r="Z11" s="98"/>
      <c r="AA11" s="96"/>
      <c r="AB11" s="96"/>
    </row>
    <row r="12" spans="1:28" s="6" customFormat="1" ht="16.5" customHeight="1" x14ac:dyDescent="0.25">
      <c r="A12" s="82" t="s">
        <v>50</v>
      </c>
      <c r="B12" s="99">
        <v>4.6399999999999997</v>
      </c>
      <c r="C12" s="84">
        <f t="shared" si="1"/>
        <v>45310899.947039992</v>
      </c>
      <c r="D12" s="85">
        <f>'CENSO 2015'!C14</f>
        <v>75520</v>
      </c>
      <c r="E12" s="86">
        <f t="shared" si="2"/>
        <v>6.3943101477498834</v>
      </c>
      <c r="F12" s="87">
        <f t="shared" si="3"/>
        <v>3.8365860886499297</v>
      </c>
      <c r="G12" s="88">
        <f>Datos!$I$12*FGP!F12/100</f>
        <v>18969244.78982329</v>
      </c>
      <c r="H12" s="89">
        <f>'Predial y Agua'!D13</f>
        <v>25483741</v>
      </c>
      <c r="I12" s="90">
        <f>'Predial y Agua'!G13</f>
        <v>26126480</v>
      </c>
      <c r="J12" s="86">
        <f t="shared" si="4"/>
        <v>1.0252215324272838</v>
      </c>
      <c r="K12" s="86">
        <f t="shared" si="5"/>
        <v>4.160945633060944</v>
      </c>
      <c r="L12" s="100">
        <f t="shared" si="6"/>
        <v>1.2482836899182832</v>
      </c>
      <c r="M12" s="91">
        <f>Datos!$I$12*FGP!L12/100</f>
        <v>6171893.0147964628</v>
      </c>
      <c r="N12" s="101">
        <f t="shared" si="7"/>
        <v>25141137.804619752</v>
      </c>
      <c r="O12" s="100">
        <f t="shared" si="8"/>
        <v>5.0848697785682129</v>
      </c>
      <c r="P12" s="100">
        <f t="shared" si="9"/>
        <v>0.19666187012592048</v>
      </c>
      <c r="Q12" s="100">
        <f t="shared" si="10"/>
        <v>3.1149553477091372</v>
      </c>
      <c r="R12" s="100">
        <f t="shared" si="11"/>
        <v>0.31149553477091374</v>
      </c>
      <c r="S12" s="93">
        <f>Datos!$I$12*FGP!R12/100</f>
        <v>1540128.3624227645</v>
      </c>
      <c r="T12" s="94">
        <f t="shared" si="12"/>
        <v>71992166.114082515</v>
      </c>
      <c r="U12" s="95">
        <f t="shared" si="13"/>
        <v>5.3963653133391265</v>
      </c>
      <c r="V12" s="96"/>
      <c r="W12" s="97">
        <v>0.59920521048482089</v>
      </c>
      <c r="X12" s="97">
        <f t="shared" si="0"/>
        <v>0.42601632194246286</v>
      </c>
      <c r="Y12" s="98"/>
      <c r="Z12" s="98"/>
      <c r="AA12" s="96"/>
      <c r="AB12" s="96"/>
    </row>
    <row r="13" spans="1:28" s="6" customFormat="1" ht="16.5" customHeight="1" x14ac:dyDescent="0.25">
      <c r="A13" s="82" t="s">
        <v>51</v>
      </c>
      <c r="B13" s="99">
        <v>1.5</v>
      </c>
      <c r="C13" s="84">
        <f t="shared" si="1"/>
        <v>14647920.241500001</v>
      </c>
      <c r="D13" s="85">
        <f>'CENSO 2015'!C15</f>
        <v>42514</v>
      </c>
      <c r="E13" s="86">
        <f t="shared" si="2"/>
        <v>3.5996782524025233</v>
      </c>
      <c r="F13" s="87">
        <f t="shared" si="3"/>
        <v>2.1598069514415137</v>
      </c>
      <c r="G13" s="88">
        <f>Datos!$I$12*FGP!F13/100</f>
        <v>10678740.373338817</v>
      </c>
      <c r="H13" s="89">
        <f>'Predial y Agua'!D14</f>
        <v>146487</v>
      </c>
      <c r="I13" s="90">
        <f>'Predial y Agua'!G14</f>
        <v>115798</v>
      </c>
      <c r="J13" s="86">
        <f t="shared" si="4"/>
        <v>0.79050018090342489</v>
      </c>
      <c r="K13" s="86">
        <f t="shared" si="5"/>
        <v>3.2083097863507741</v>
      </c>
      <c r="L13" s="100">
        <f t="shared" si="6"/>
        <v>0.96249293590523222</v>
      </c>
      <c r="M13" s="91">
        <f>Datos!$I$12*FGP!L13/100</f>
        <v>4758856.8815581677</v>
      </c>
      <c r="N13" s="101">
        <f t="shared" si="7"/>
        <v>15437597.254896984</v>
      </c>
      <c r="O13" s="100">
        <f t="shared" si="8"/>
        <v>3.1222998873467458</v>
      </c>
      <c r="P13" s="100">
        <f t="shared" si="9"/>
        <v>0.32027673064094286</v>
      </c>
      <c r="Q13" s="100">
        <f t="shared" si="10"/>
        <v>5.0729087149329999</v>
      </c>
      <c r="R13" s="100">
        <f t="shared" si="11"/>
        <v>0.50729087149329999</v>
      </c>
      <c r="S13" s="93">
        <f>Datos!$I$12*FGP!R13/100</f>
        <v>2508199.8679678901</v>
      </c>
      <c r="T13" s="94">
        <f t="shared" si="12"/>
        <v>32593717.364364874</v>
      </c>
      <c r="U13" s="95">
        <f t="shared" si="13"/>
        <v>3.6295907588400458</v>
      </c>
      <c r="V13" s="96"/>
      <c r="W13" s="97">
        <v>5.0856642738427809</v>
      </c>
      <c r="X13" s="97">
        <f t="shared" si="0"/>
        <v>-4.2951640929393555</v>
      </c>
      <c r="Y13" s="98"/>
      <c r="Z13" s="98"/>
      <c r="AA13" s="96"/>
      <c r="AB13" s="96"/>
    </row>
    <row r="14" spans="1:28" s="6" customFormat="1" ht="16.5" customHeight="1" x14ac:dyDescent="0.25">
      <c r="A14" s="82" t="s">
        <v>52</v>
      </c>
      <c r="B14" s="99">
        <v>1.53</v>
      </c>
      <c r="C14" s="84">
        <f t="shared" si="1"/>
        <v>14940878.646330001</v>
      </c>
      <c r="D14" s="85">
        <f>'CENSO 2015'!C16</f>
        <v>12614</v>
      </c>
      <c r="E14" s="86">
        <f t="shared" si="2"/>
        <v>1.0680326827822699</v>
      </c>
      <c r="F14" s="87">
        <f t="shared" si="3"/>
        <v>0.64081960966936191</v>
      </c>
      <c r="G14" s="88">
        <f>Datos!$I$12*FGP!F14/100</f>
        <v>3168406.4324527406</v>
      </c>
      <c r="H14" s="89">
        <f>'Predial y Agua'!D15</f>
        <v>37508</v>
      </c>
      <c r="I14" s="90">
        <f>'Predial y Agua'!G15</f>
        <v>92213</v>
      </c>
      <c r="J14" s="86">
        <f t="shared" si="4"/>
        <v>2.4584888557107818</v>
      </c>
      <c r="K14" s="86">
        <f t="shared" si="5"/>
        <v>9.9779785583310847</v>
      </c>
      <c r="L14" s="100">
        <f t="shared" si="6"/>
        <v>2.9933935674993255</v>
      </c>
      <c r="M14" s="91">
        <f>Datos!$I$12*FGP!L14/100</f>
        <v>14800245.328043325</v>
      </c>
      <c r="N14" s="101">
        <f t="shared" si="7"/>
        <v>17968651.760496065</v>
      </c>
      <c r="O14" s="100">
        <f t="shared" si="8"/>
        <v>3.6342131771686876</v>
      </c>
      <c r="P14" s="100">
        <f t="shared" si="9"/>
        <v>0.27516272470815034</v>
      </c>
      <c r="Q14" s="100">
        <f t="shared" si="10"/>
        <v>4.3583415548274083</v>
      </c>
      <c r="R14" s="100">
        <f t="shared" si="11"/>
        <v>0.43583415548274085</v>
      </c>
      <c r="S14" s="93">
        <f>Datos!$I$12*FGP!R14/100</f>
        <v>2154896.1999253035</v>
      </c>
      <c r="T14" s="94">
        <f t="shared" si="12"/>
        <v>35064426.606751367</v>
      </c>
      <c r="U14" s="95">
        <f t="shared" si="13"/>
        <v>4.0700473326514279</v>
      </c>
      <c r="V14" s="96"/>
      <c r="W14" s="97">
        <v>0.76323116375625843</v>
      </c>
      <c r="X14" s="97">
        <f t="shared" si="0"/>
        <v>1.6952576919545232</v>
      </c>
      <c r="Y14" s="98"/>
      <c r="Z14" s="98"/>
      <c r="AA14" s="96"/>
      <c r="AB14" s="96"/>
    </row>
    <row r="15" spans="1:28" s="6" customFormat="1" ht="16.5" customHeight="1" x14ac:dyDescent="0.25">
      <c r="A15" s="82" t="s">
        <v>53</v>
      </c>
      <c r="B15" s="99">
        <v>3.16</v>
      </c>
      <c r="C15" s="84">
        <f t="shared" si="1"/>
        <v>30858285.308760002</v>
      </c>
      <c r="D15" s="85">
        <f>'CENSO 2015'!C17</f>
        <v>29416</v>
      </c>
      <c r="E15" s="86">
        <f t="shared" si="2"/>
        <v>2.4906650861521529</v>
      </c>
      <c r="F15" s="87">
        <f t="shared" si="3"/>
        <v>1.4943990516912917</v>
      </c>
      <c r="G15" s="88">
        <f>Datos!$I$12*FGP!F15/100</f>
        <v>7388761.9801038411</v>
      </c>
      <c r="H15" s="89">
        <f>'Predial y Agua'!D16</f>
        <v>12917753</v>
      </c>
      <c r="I15" s="90">
        <f>'Predial y Agua'!G16</f>
        <v>11680521</v>
      </c>
      <c r="J15" s="86">
        <f t="shared" si="4"/>
        <v>0.90422235198335188</v>
      </c>
      <c r="K15" s="86">
        <f t="shared" si="5"/>
        <v>3.6698605401833797</v>
      </c>
      <c r="L15" s="100">
        <f t="shared" si="6"/>
        <v>1.100958162055014</v>
      </c>
      <c r="M15" s="91">
        <f>Datos!$I$12*FGP!L15/100</f>
        <v>5443470.9392184056</v>
      </c>
      <c r="N15" s="101">
        <f t="shared" si="7"/>
        <v>12832232.919322247</v>
      </c>
      <c r="O15" s="100">
        <f t="shared" si="8"/>
        <v>2.5953572137463059</v>
      </c>
      <c r="P15" s="100">
        <f t="shared" si="9"/>
        <v>0.38530341592421319</v>
      </c>
      <c r="Q15" s="100">
        <f t="shared" si="10"/>
        <v>6.1028756370273953</v>
      </c>
      <c r="R15" s="100">
        <f t="shared" si="11"/>
        <v>0.61028756370273962</v>
      </c>
      <c r="S15" s="93">
        <f>Datos!$I$12*FGP!R15/100</f>
        <v>3017446.7405567612</v>
      </c>
      <c r="T15" s="94">
        <f t="shared" si="12"/>
        <v>46707964.968639016</v>
      </c>
      <c r="U15" s="95">
        <f t="shared" si="13"/>
        <v>3.2056447774490451</v>
      </c>
      <c r="V15" s="96"/>
      <c r="W15" s="97">
        <v>1.5455894402307131</v>
      </c>
      <c r="X15" s="97">
        <f t="shared" si="0"/>
        <v>-0.64136708824736122</v>
      </c>
      <c r="Y15" s="98"/>
      <c r="Z15" s="98"/>
      <c r="AA15" s="96"/>
      <c r="AB15" s="96"/>
    </row>
    <row r="16" spans="1:28" s="6" customFormat="1" ht="16.5" customHeight="1" x14ac:dyDescent="0.25">
      <c r="A16" s="82" t="s">
        <v>54</v>
      </c>
      <c r="B16" s="99">
        <v>2.81</v>
      </c>
      <c r="C16" s="84">
        <f t="shared" si="1"/>
        <v>27440437.252410002</v>
      </c>
      <c r="D16" s="85">
        <f>'CENSO 2015'!C18</f>
        <v>18580</v>
      </c>
      <c r="E16" s="86">
        <f t="shared" si="2"/>
        <v>1.5731764108208799</v>
      </c>
      <c r="F16" s="87">
        <f t="shared" si="3"/>
        <v>0.94390584649252784</v>
      </c>
      <c r="G16" s="88">
        <f>Datos!$I$12*FGP!F16/100</f>
        <v>4666956.67630981</v>
      </c>
      <c r="H16" s="89">
        <f>'Predial y Agua'!D17</f>
        <v>2600496</v>
      </c>
      <c r="I16" s="90">
        <f>'Predial y Agua'!G17</f>
        <v>3420820</v>
      </c>
      <c r="J16" s="86">
        <f t="shared" si="4"/>
        <v>1.315449052796082</v>
      </c>
      <c r="K16" s="86">
        <f t="shared" si="5"/>
        <v>5.3388578162098188</v>
      </c>
      <c r="L16" s="100">
        <f t="shared" si="6"/>
        <v>1.6016573448629456</v>
      </c>
      <c r="M16" s="91">
        <f>Datos!$I$12*FGP!L16/100</f>
        <v>7919079.4998724898</v>
      </c>
      <c r="N16" s="101">
        <f t="shared" si="7"/>
        <v>12586036.1761823</v>
      </c>
      <c r="O16" s="100">
        <f t="shared" si="8"/>
        <v>2.5455631913554733</v>
      </c>
      <c r="P16" s="100">
        <f t="shared" si="9"/>
        <v>0.39284037551922463</v>
      </c>
      <c r="Q16" s="100">
        <f t="shared" si="10"/>
        <v>6.2222546126311373</v>
      </c>
      <c r="R16" s="100">
        <f t="shared" si="11"/>
        <v>0.62222546126311373</v>
      </c>
      <c r="S16" s="93">
        <f>Datos!$I$12*FGP!R16/100</f>
        <v>3076471.3254001732</v>
      </c>
      <c r="T16" s="94">
        <f t="shared" si="12"/>
        <v>43102944.753992476</v>
      </c>
      <c r="U16" s="95">
        <f t="shared" si="13"/>
        <v>3.1677886526185874</v>
      </c>
      <c r="V16" s="96"/>
      <c r="W16" s="97">
        <v>1.3217513416832607</v>
      </c>
      <c r="X16" s="97">
        <f t="shared" si="0"/>
        <v>-6.3022888871786531E-3</v>
      </c>
      <c r="Y16" s="98"/>
      <c r="Z16" s="98"/>
      <c r="AA16" s="96"/>
      <c r="AB16" s="96"/>
    </row>
    <row r="17" spans="1:28" s="6" customFormat="1" ht="16.5" customHeight="1" x14ac:dyDescent="0.25">
      <c r="A17" s="82" t="s">
        <v>55</v>
      </c>
      <c r="B17" s="99">
        <v>1.6</v>
      </c>
      <c r="C17" s="84">
        <f t="shared" si="1"/>
        <v>15624448.257600002</v>
      </c>
      <c r="D17" s="85">
        <f>'CENSO 2015'!C19</f>
        <v>14315</v>
      </c>
      <c r="E17" s="86">
        <f t="shared" si="2"/>
        <v>1.212057067863342</v>
      </c>
      <c r="F17" s="87">
        <f t="shared" si="3"/>
        <v>0.72723424071800513</v>
      </c>
      <c r="G17" s="88">
        <f>Datos!$I$12*FGP!F17/100</f>
        <v>3595666.5673506414</v>
      </c>
      <c r="H17" s="89">
        <f>'Predial y Agua'!D18</f>
        <v>2200274</v>
      </c>
      <c r="I17" s="90">
        <f>'Predial y Agua'!G18</f>
        <v>2366788</v>
      </c>
      <c r="J17" s="86">
        <f t="shared" si="4"/>
        <v>1.0756787563730699</v>
      </c>
      <c r="K17" s="86">
        <f t="shared" si="5"/>
        <v>4.3657304127334173</v>
      </c>
      <c r="L17" s="100">
        <f t="shared" si="6"/>
        <v>1.3097191238200252</v>
      </c>
      <c r="M17" s="91">
        <f>Datos!$I$12*FGP!L17/100</f>
        <v>6475648.4258632967</v>
      </c>
      <c r="N17" s="101">
        <f t="shared" si="7"/>
        <v>10071314.993213939</v>
      </c>
      <c r="O17" s="100">
        <f t="shared" si="8"/>
        <v>2.0369533645380304</v>
      </c>
      <c r="P17" s="100">
        <f t="shared" si="9"/>
        <v>0.49092925611814109</v>
      </c>
      <c r="Q17" s="100">
        <f t="shared" si="10"/>
        <v>7.7758983513831499</v>
      </c>
      <c r="R17" s="100">
        <f t="shared" si="11"/>
        <v>0.77758983513831503</v>
      </c>
      <c r="S17" s="93">
        <f>Datos!$I$12*FGP!R17/100</f>
        <v>3844639.8928604699</v>
      </c>
      <c r="T17" s="94">
        <f t="shared" si="12"/>
        <v>29540403.143674407</v>
      </c>
      <c r="U17" s="95">
        <f t="shared" si="13"/>
        <v>2.8145431996763457</v>
      </c>
      <c r="V17" s="96"/>
      <c r="W17" s="97">
        <v>1.0641937928415424</v>
      </c>
      <c r="X17" s="97">
        <f t="shared" si="0"/>
        <v>1.1484963531527503E-2</v>
      </c>
      <c r="Y17" s="98"/>
      <c r="Z17" s="98"/>
      <c r="AA17" s="96"/>
      <c r="AB17" s="96"/>
    </row>
    <row r="18" spans="1:28" s="6" customFormat="1" ht="16.5" customHeight="1" x14ac:dyDescent="0.25">
      <c r="A18" s="82" t="s">
        <v>56</v>
      </c>
      <c r="B18" s="99">
        <v>2.84</v>
      </c>
      <c r="C18" s="84">
        <f t="shared" si="1"/>
        <v>27733395.65724</v>
      </c>
      <c r="D18" s="85">
        <f>'CENSO 2015'!C20</f>
        <v>33901</v>
      </c>
      <c r="E18" s="86">
        <f t="shared" si="2"/>
        <v>2.8704119215951907</v>
      </c>
      <c r="F18" s="87">
        <f t="shared" si="3"/>
        <v>1.7222471529571144</v>
      </c>
      <c r="G18" s="88">
        <f>Datos!$I$12*FGP!F18/100</f>
        <v>8515312.071236752</v>
      </c>
      <c r="H18" s="89">
        <f>'Predial y Agua'!D19</f>
        <v>1759253</v>
      </c>
      <c r="I18" s="90">
        <f>'Predial y Agua'!G19</f>
        <v>2337928</v>
      </c>
      <c r="J18" s="86">
        <f t="shared" si="4"/>
        <v>1.3289322229378038</v>
      </c>
      <c r="K18" s="86">
        <f t="shared" si="5"/>
        <v>5.3935803675282523</v>
      </c>
      <c r="L18" s="100">
        <f t="shared" si="6"/>
        <v>1.6180741102584757</v>
      </c>
      <c r="M18" s="91">
        <f>Datos!$I$12*FGP!L18/100</f>
        <v>8000248.9651859859</v>
      </c>
      <c r="N18" s="101">
        <f t="shared" si="7"/>
        <v>16515561.036422737</v>
      </c>
      <c r="O18" s="100">
        <f t="shared" si="8"/>
        <v>3.3403212632155901</v>
      </c>
      <c r="P18" s="100">
        <f t="shared" si="9"/>
        <v>0.29937240199385523</v>
      </c>
      <c r="Q18" s="100">
        <f t="shared" si="10"/>
        <v>4.7418020786144206</v>
      </c>
      <c r="R18" s="100">
        <f t="shared" si="11"/>
        <v>0.4741802078614421</v>
      </c>
      <c r="S18" s="93">
        <f>Datos!$I$12*FGP!R18/100</f>
        <v>2344490.7085554837</v>
      </c>
      <c r="T18" s="94">
        <f t="shared" si="12"/>
        <v>46593447.402218215</v>
      </c>
      <c r="U18" s="95">
        <f t="shared" si="13"/>
        <v>3.814501471077032</v>
      </c>
      <c r="V18" s="96"/>
      <c r="W18" s="97">
        <v>0.85819469233584766</v>
      </c>
      <c r="X18" s="97">
        <f t="shared" si="0"/>
        <v>0.47073753060195611</v>
      </c>
      <c r="Y18" s="98"/>
      <c r="Z18" s="98"/>
      <c r="AA18" s="96"/>
      <c r="AB18" s="96"/>
    </row>
    <row r="19" spans="1:28" s="6" customFormat="1" ht="16.5" customHeight="1" x14ac:dyDescent="0.25">
      <c r="A19" s="82" t="s">
        <v>57</v>
      </c>
      <c r="B19" s="99">
        <v>3.33</v>
      </c>
      <c r="C19" s="84">
        <f t="shared" si="1"/>
        <v>32518382.936129998</v>
      </c>
      <c r="D19" s="85">
        <f>'CENSO 2015'!C21</f>
        <v>24743</v>
      </c>
      <c r="E19" s="86">
        <f t="shared" si="2"/>
        <v>2.0950002116760511</v>
      </c>
      <c r="F19" s="87">
        <f t="shared" si="3"/>
        <v>1.2570001270056306</v>
      </c>
      <c r="G19" s="88">
        <f>Datos!$I$12*FGP!F19/100</f>
        <v>6214989.7223860929</v>
      </c>
      <c r="H19" s="89">
        <f>'Predial y Agua'!D20</f>
        <v>2805300</v>
      </c>
      <c r="I19" s="90">
        <f>'Predial y Agua'!G20</f>
        <v>2694457</v>
      </c>
      <c r="J19" s="86">
        <f t="shared" si="4"/>
        <v>0.96048800484796637</v>
      </c>
      <c r="K19" s="86">
        <f t="shared" si="5"/>
        <v>3.8982193047755054</v>
      </c>
      <c r="L19" s="100">
        <f t="shared" si="6"/>
        <v>1.1694657914326516</v>
      </c>
      <c r="M19" s="91">
        <f>Datos!$I$12*FGP!L19/100</f>
        <v>5782193.4288503788</v>
      </c>
      <c r="N19" s="101">
        <f t="shared" si="7"/>
        <v>11997183.151236471</v>
      </c>
      <c r="O19" s="100">
        <f t="shared" si="8"/>
        <v>2.4264659184382822</v>
      </c>
      <c r="P19" s="100">
        <f t="shared" si="9"/>
        <v>0.41212200525924481</v>
      </c>
      <c r="Q19" s="100">
        <f t="shared" si="10"/>
        <v>6.5276590900357645</v>
      </c>
      <c r="R19" s="100">
        <f t="shared" si="11"/>
        <v>0.65276590900357645</v>
      </c>
      <c r="S19" s="93">
        <f>Datos!$I$12*FGP!R19/100</f>
        <v>3227472.5582132507</v>
      </c>
      <c r="T19" s="94">
        <f t="shared" si="12"/>
        <v>47743038.645579726</v>
      </c>
      <c r="U19" s="95">
        <f t="shared" si="13"/>
        <v>3.0792318274418586</v>
      </c>
      <c r="V19" s="96"/>
      <c r="W19" s="97">
        <v>0.30847701853884074</v>
      </c>
      <c r="X19" s="97">
        <f t="shared" si="0"/>
        <v>0.65201098630912568</v>
      </c>
      <c r="Y19" s="98"/>
      <c r="Z19" s="98"/>
      <c r="AA19" s="96"/>
      <c r="AB19" s="96"/>
    </row>
    <row r="20" spans="1:28" s="6" customFormat="1" ht="16.5" customHeight="1" x14ac:dyDescent="0.25">
      <c r="A20" s="82" t="s">
        <v>58</v>
      </c>
      <c r="B20" s="99">
        <v>4.6900000000000004</v>
      </c>
      <c r="C20" s="84">
        <f t="shared" si="1"/>
        <v>45799163.955090009</v>
      </c>
      <c r="D20" s="85">
        <f>'CENSO 2015'!C22</f>
        <v>43979</v>
      </c>
      <c r="E20" s="86">
        <f t="shared" si="2"/>
        <v>3.7237204182718768</v>
      </c>
      <c r="F20" s="87">
        <f t="shared" si="3"/>
        <v>2.2342322509631258</v>
      </c>
      <c r="G20" s="88">
        <f>Datos!$I$12*FGP!F20/100</f>
        <v>11046721.618268518</v>
      </c>
      <c r="H20" s="89">
        <f>'Predial y Agua'!D21</f>
        <v>6318753</v>
      </c>
      <c r="I20" s="90">
        <f>'Predial y Agua'!G21</f>
        <v>6665469</v>
      </c>
      <c r="J20" s="86">
        <f t="shared" si="4"/>
        <v>1.0548709531769955</v>
      </c>
      <c r="K20" s="86">
        <f t="shared" si="5"/>
        <v>4.2812802377187422</v>
      </c>
      <c r="L20" s="100">
        <f t="shared" si="6"/>
        <v>1.2843840713156227</v>
      </c>
      <c r="M20" s="91">
        <f>Datos!$I$12*FGP!L20/100</f>
        <v>6350384.2452573171</v>
      </c>
      <c r="N20" s="101">
        <f t="shared" si="7"/>
        <v>17397105.863525834</v>
      </c>
      <c r="O20" s="100">
        <f t="shared" si="8"/>
        <v>3.5186163222787483</v>
      </c>
      <c r="P20" s="100">
        <f t="shared" si="9"/>
        <v>0.28420262637569238</v>
      </c>
      <c r="Q20" s="100">
        <f t="shared" si="10"/>
        <v>4.5015258438003798</v>
      </c>
      <c r="R20" s="100">
        <f t="shared" si="11"/>
        <v>0.45015258438003802</v>
      </c>
      <c r="S20" s="93">
        <f>Datos!$I$12*FGP!R20/100</f>
        <v>2225690.8534225971</v>
      </c>
      <c r="T20" s="94">
        <f t="shared" si="12"/>
        <v>65421960.672038443</v>
      </c>
      <c r="U20" s="95">
        <f t="shared" si="13"/>
        <v>3.9687689066587866</v>
      </c>
      <c r="V20" s="96"/>
      <c r="W20" s="97">
        <v>0.9189459125639704</v>
      </c>
      <c r="X20" s="97">
        <f t="shared" si="0"/>
        <v>0.13592504061302513</v>
      </c>
      <c r="Y20" s="98"/>
      <c r="Z20" s="98"/>
      <c r="AA20" s="96"/>
      <c r="AB20" s="96"/>
    </row>
    <row r="21" spans="1:28" s="6" customFormat="1" ht="16.5" customHeight="1" x14ac:dyDescent="0.25">
      <c r="A21" s="82" t="s">
        <v>59</v>
      </c>
      <c r="B21" s="99">
        <v>2.13</v>
      </c>
      <c r="C21" s="84">
        <f t="shared" si="1"/>
        <v>20800046.742929999</v>
      </c>
      <c r="D21" s="85">
        <f>'CENSO 2015'!C23</f>
        <v>7499</v>
      </c>
      <c r="E21" s="86">
        <f t="shared" si="2"/>
        <v>0.63494348249439059</v>
      </c>
      <c r="F21" s="87">
        <f t="shared" si="3"/>
        <v>0.38096608949663435</v>
      </c>
      <c r="G21" s="88">
        <f>Datos!$I$12*FGP!F21/100</f>
        <v>1883611.8469132003</v>
      </c>
      <c r="H21" s="89">
        <f>'Predial y Agua'!D22</f>
        <v>1976515</v>
      </c>
      <c r="I21" s="90">
        <f>'Predial y Agua'!G22</f>
        <v>1821386</v>
      </c>
      <c r="J21" s="86">
        <f t="shared" si="4"/>
        <v>0.92151387669711593</v>
      </c>
      <c r="K21" s="86">
        <f t="shared" si="5"/>
        <v>3.7400396107266571</v>
      </c>
      <c r="L21" s="100">
        <f t="shared" si="6"/>
        <v>1.1220118832179971</v>
      </c>
      <c r="M21" s="91">
        <f>Datos!$I$12*FGP!L21/100</f>
        <v>5547566.9196680058</v>
      </c>
      <c r="N21" s="101">
        <f t="shared" si="7"/>
        <v>7431178.7665812057</v>
      </c>
      <c r="O21" s="100">
        <f t="shared" si="8"/>
        <v>1.5029779727146315</v>
      </c>
      <c r="P21" s="100">
        <f t="shared" si="9"/>
        <v>0.66534574568237448</v>
      </c>
      <c r="Q21" s="100">
        <f t="shared" si="10"/>
        <v>10.5385059506544</v>
      </c>
      <c r="R21" s="100">
        <f t="shared" si="11"/>
        <v>1.05385059506544</v>
      </c>
      <c r="S21" s="93">
        <f>Datos!$I$12*FGP!R21/100</f>
        <v>5210556.8460557833</v>
      </c>
      <c r="T21" s="94">
        <f t="shared" si="12"/>
        <v>33441782.355566986</v>
      </c>
      <c r="U21" s="95">
        <f t="shared" si="13"/>
        <v>2.5568285677800717</v>
      </c>
      <c r="V21" s="96"/>
      <c r="W21" s="97">
        <v>0.95554775379956836</v>
      </c>
      <c r="X21" s="97">
        <f t="shared" si="0"/>
        <v>-3.4033877102452426E-2</v>
      </c>
      <c r="Y21" s="98"/>
      <c r="Z21" s="98"/>
      <c r="AA21" s="96"/>
      <c r="AB21" s="96"/>
    </row>
    <row r="22" spans="1:28" s="6" customFormat="1" ht="16.5" customHeight="1" x14ac:dyDescent="0.25">
      <c r="A22" s="82" t="s">
        <v>60</v>
      </c>
      <c r="B22" s="99">
        <v>2.81</v>
      </c>
      <c r="C22" s="84">
        <f t="shared" si="1"/>
        <v>27440437.252410002</v>
      </c>
      <c r="D22" s="85">
        <f>'CENSO 2015'!C24</f>
        <v>23477</v>
      </c>
      <c r="E22" s="86">
        <f t="shared" si="2"/>
        <v>1.9878074594640365</v>
      </c>
      <c r="F22" s="87">
        <f t="shared" si="3"/>
        <v>1.1926844756784218</v>
      </c>
      <c r="G22" s="88">
        <f>Datos!$I$12*FGP!F22/100</f>
        <v>5896993.6431499133</v>
      </c>
      <c r="H22" s="89">
        <f>'Predial y Agua'!D23</f>
        <v>4697523</v>
      </c>
      <c r="I22" s="90">
        <f>'Predial y Agua'!G23</f>
        <v>4577159</v>
      </c>
      <c r="J22" s="86">
        <f t="shared" si="4"/>
        <v>0.97437713450258789</v>
      </c>
      <c r="K22" s="86">
        <f t="shared" si="5"/>
        <v>3.9545894760560363</v>
      </c>
      <c r="L22" s="100">
        <f t="shared" si="6"/>
        <v>1.1863768428168109</v>
      </c>
      <c r="M22" s="91">
        <f>Datos!$I$12*FGP!L22/100</f>
        <v>5865806.7939481707</v>
      </c>
      <c r="N22" s="101">
        <f t="shared" si="7"/>
        <v>11762800.437098084</v>
      </c>
      <c r="O22" s="100">
        <f t="shared" si="8"/>
        <v>2.3790613184952329</v>
      </c>
      <c r="P22" s="100">
        <f t="shared" si="9"/>
        <v>0.420333848575414</v>
      </c>
      <c r="Q22" s="100">
        <f t="shared" si="10"/>
        <v>6.6577276449410565</v>
      </c>
      <c r="R22" s="100">
        <f t="shared" si="11"/>
        <v>0.66577276449410572</v>
      </c>
      <c r="S22" s="93">
        <f>Datos!$I$12*FGP!R22/100</f>
        <v>3291782.3951476095</v>
      </c>
      <c r="T22" s="94">
        <f t="shared" si="12"/>
        <v>42495020.084655695</v>
      </c>
      <c r="U22" s="95">
        <f t="shared" si="13"/>
        <v>3.0448340829893383</v>
      </c>
      <c r="V22" s="96"/>
      <c r="W22" s="97">
        <v>1.699762368686244</v>
      </c>
      <c r="X22" s="97">
        <f t="shared" si="0"/>
        <v>-0.72538523418365608</v>
      </c>
      <c r="Y22" s="98"/>
      <c r="Z22" s="98"/>
      <c r="AA22" s="96"/>
      <c r="AB22" s="96"/>
    </row>
    <row r="23" spans="1:28" s="6" customFormat="1" ht="16.5" customHeight="1" x14ac:dyDescent="0.25">
      <c r="A23" s="82" t="s">
        <v>61</v>
      </c>
      <c r="B23" s="99">
        <v>8.34</v>
      </c>
      <c r="C23" s="84">
        <f t="shared" si="1"/>
        <v>81442436.542740002</v>
      </c>
      <c r="D23" s="85">
        <f>'CENSO 2015'!C25</f>
        <v>97820</v>
      </c>
      <c r="E23" s="86">
        <f t="shared" si="2"/>
        <v>8.2824605224164927</v>
      </c>
      <c r="F23" s="87">
        <f t="shared" si="3"/>
        <v>4.9694763134498956</v>
      </c>
      <c r="G23" s="88">
        <f>Datos!$I$12*FGP!F23/100</f>
        <v>24570597.528343678</v>
      </c>
      <c r="H23" s="89">
        <f>'Predial y Agua'!D24</f>
        <v>16009888</v>
      </c>
      <c r="I23" s="90">
        <f>'Predial y Agua'!G24</f>
        <v>16215080</v>
      </c>
      <c r="J23" s="86">
        <f t="shared" si="4"/>
        <v>1.0128165793539592</v>
      </c>
      <c r="K23" s="86">
        <f t="shared" si="5"/>
        <v>4.1105991141026745</v>
      </c>
      <c r="L23" s="100">
        <f t="shared" si="6"/>
        <v>1.2331797342308024</v>
      </c>
      <c r="M23" s="91">
        <f>Datos!$I$12*FGP!L23/100</f>
        <v>6097214.4786942573</v>
      </c>
      <c r="N23" s="101">
        <f t="shared" si="7"/>
        <v>30667812.007037934</v>
      </c>
      <c r="O23" s="100">
        <f t="shared" si="8"/>
        <v>6.2026560476806978</v>
      </c>
      <c r="P23" s="100">
        <f t="shared" si="9"/>
        <v>0.16122125623488678</v>
      </c>
      <c r="Q23" s="100">
        <f t="shared" si="10"/>
        <v>2.5536064207652163</v>
      </c>
      <c r="R23" s="100">
        <f t="shared" si="11"/>
        <v>0.25536064207652165</v>
      </c>
      <c r="S23" s="93">
        <f>Datos!$I$12*FGP!R23/100</f>
        <v>1262580.4340912264</v>
      </c>
      <c r="T23" s="94">
        <f t="shared" si="12"/>
        <v>113372828.98386917</v>
      </c>
      <c r="U23" s="95">
        <f t="shared" si="13"/>
        <v>6.4580166897572191</v>
      </c>
      <c r="V23" s="96"/>
      <c r="W23" s="97">
        <v>1.2135546261977699</v>
      </c>
      <c r="X23" s="97">
        <f t="shared" si="0"/>
        <v>-0.20073804684381069</v>
      </c>
      <c r="Y23" s="98"/>
      <c r="Z23" s="98"/>
      <c r="AA23" s="96"/>
      <c r="AB23" s="96"/>
    </row>
    <row r="24" spans="1:28" s="6" customFormat="1" ht="16.5" customHeight="1" x14ac:dyDescent="0.25">
      <c r="A24" s="82" t="s">
        <v>62</v>
      </c>
      <c r="B24" s="99">
        <v>3.5</v>
      </c>
      <c r="C24" s="84">
        <f t="shared" si="1"/>
        <v>34178480.563500002</v>
      </c>
      <c r="D24" s="85">
        <f>'CENSO 2015'!C26</f>
        <v>39718</v>
      </c>
      <c r="E24" s="86">
        <f t="shared" si="2"/>
        <v>3.3629397569958934</v>
      </c>
      <c r="F24" s="87">
        <f t="shared" si="3"/>
        <v>2.0177638541975358</v>
      </c>
      <c r="G24" s="88">
        <f>Datos!$I$12*FGP!F24/100</f>
        <v>9976436.2362579647</v>
      </c>
      <c r="H24" s="89">
        <f>'Predial y Agua'!D25</f>
        <v>4565908</v>
      </c>
      <c r="I24" s="90">
        <f>'Predial y Agua'!G25</f>
        <v>4339926</v>
      </c>
      <c r="J24" s="86">
        <f t="shared" si="4"/>
        <v>0.95050666811508244</v>
      </c>
      <c r="K24" s="86">
        <f t="shared" si="5"/>
        <v>3.8577092314136294</v>
      </c>
      <c r="L24" s="100">
        <f t="shared" si="6"/>
        <v>1.1573127694240888</v>
      </c>
      <c r="M24" s="91">
        <f>Datos!$I$12*FGP!L24/100</f>
        <v>5722105.2035141755</v>
      </c>
      <c r="N24" s="101">
        <f t="shared" si="7"/>
        <v>15698541.43977214</v>
      </c>
      <c r="O24" s="100">
        <f t="shared" si="8"/>
        <v>3.1750766236216243</v>
      </c>
      <c r="P24" s="100">
        <f t="shared" si="9"/>
        <v>0.31495302902622818</v>
      </c>
      <c r="Q24" s="100">
        <f t="shared" si="10"/>
        <v>4.9885858474460525</v>
      </c>
      <c r="R24" s="100">
        <f t="shared" si="11"/>
        <v>0.49885858474460526</v>
      </c>
      <c r="S24" s="93">
        <f>Datos!$I$12*FGP!R24/100</f>
        <v>2466508.0858006198</v>
      </c>
      <c r="T24" s="94">
        <f t="shared" si="12"/>
        <v>52343530.089072756</v>
      </c>
      <c r="U24" s="95">
        <f t="shared" si="13"/>
        <v>3.6739352083662298</v>
      </c>
      <c r="V24" s="96"/>
      <c r="W24" s="97">
        <v>0.93743913529070699</v>
      </c>
      <c r="X24" s="97">
        <f t="shared" si="0"/>
        <v>1.306753282437545E-2</v>
      </c>
      <c r="Y24" s="98"/>
      <c r="Z24" s="98"/>
      <c r="AA24" s="96"/>
      <c r="AB24" s="96"/>
    </row>
    <row r="25" spans="1:28" s="6" customFormat="1" ht="16.5" customHeight="1" x14ac:dyDescent="0.25">
      <c r="A25" s="82" t="s">
        <v>63</v>
      </c>
      <c r="B25" s="99">
        <v>39</v>
      </c>
      <c r="C25" s="84">
        <f t="shared" si="1"/>
        <v>380845926.27900004</v>
      </c>
      <c r="D25" s="85">
        <f>'CENSO 2015'!C27</f>
        <v>413608</v>
      </c>
      <c r="E25" s="86">
        <f t="shared" si="2"/>
        <v>35.020363236103471</v>
      </c>
      <c r="F25" s="87">
        <f t="shared" si="3"/>
        <v>21.012217941662083</v>
      </c>
      <c r="G25" s="88">
        <f>Datos!$I$12*FGP!F25/100</f>
        <v>103890775.94053541</v>
      </c>
      <c r="H25" s="89">
        <f>'Predial y Agua'!D26</f>
        <v>339819544</v>
      </c>
      <c r="I25" s="90">
        <f>'Predial y Agua'!G26</f>
        <v>249740346</v>
      </c>
      <c r="J25" s="86">
        <f t="shared" si="4"/>
        <v>0.73492049062369413</v>
      </c>
      <c r="K25" s="86">
        <f t="shared" si="5"/>
        <v>2.9827350571419644</v>
      </c>
      <c r="L25" s="100">
        <f t="shared" si="6"/>
        <v>0.89482051714258926</v>
      </c>
      <c r="M25" s="91">
        <f>Datos!$I$12*FGP!L25/100</f>
        <v>4424263.9264240023</v>
      </c>
      <c r="N25" s="101">
        <f t="shared" si="7"/>
        <v>108315039.86695941</v>
      </c>
      <c r="O25" s="100">
        <f t="shared" si="8"/>
        <v>21.907038458804671</v>
      </c>
      <c r="P25" s="100">
        <f t="shared" si="9"/>
        <v>4.5647429792048839E-2</v>
      </c>
      <c r="Q25" s="100">
        <f t="shared" si="10"/>
        <v>0.72301613652345198</v>
      </c>
      <c r="R25" s="100">
        <f t="shared" si="11"/>
        <v>7.2301613652345206E-2</v>
      </c>
      <c r="S25" s="93">
        <f>Datos!$I$12*FGP!R25/100</f>
        <v>357481.09813774325</v>
      </c>
      <c r="T25" s="94">
        <f t="shared" si="12"/>
        <v>489518447.24409723</v>
      </c>
      <c r="U25" s="95">
        <f t="shared" si="13"/>
        <v>21.979340072457017</v>
      </c>
      <c r="V25" s="96"/>
      <c r="W25" s="97">
        <v>0.78971025252641724</v>
      </c>
      <c r="X25" s="97">
        <f t="shared" si="0"/>
        <v>-5.4789761902723111E-2</v>
      </c>
      <c r="Y25" s="98"/>
      <c r="Z25" s="98"/>
      <c r="AA25" s="96"/>
      <c r="AB25" s="96"/>
    </row>
    <row r="26" spans="1:28" s="6" customFormat="1" ht="16.5" customHeight="1" x14ac:dyDescent="0.25">
      <c r="A26" s="82" t="s">
        <v>64</v>
      </c>
      <c r="B26" s="99">
        <v>3.79</v>
      </c>
      <c r="C26" s="84">
        <f t="shared" si="1"/>
        <v>37010411.81019</v>
      </c>
      <c r="D26" s="85">
        <f>'CENSO 2015'!C28</f>
        <v>30565</v>
      </c>
      <c r="E26" s="86">
        <f t="shared" si="2"/>
        <v>2.5879513991786967</v>
      </c>
      <c r="F26" s="87">
        <f t="shared" si="3"/>
        <v>1.5527708395072179</v>
      </c>
      <c r="G26" s="88">
        <f>Datos!$I$12*FGP!F26/100</f>
        <v>7677369.7960930737</v>
      </c>
      <c r="H26" s="89">
        <f>'Predial y Agua'!D27</f>
        <v>1900594</v>
      </c>
      <c r="I26" s="90">
        <f>'Predial y Agua'!G27</f>
        <v>2607273</v>
      </c>
      <c r="J26" s="86">
        <f t="shared" si="4"/>
        <v>1.3718200730929384</v>
      </c>
      <c r="K26" s="86">
        <f t="shared" si="5"/>
        <v>5.5676442231633141</v>
      </c>
      <c r="L26" s="100">
        <f t="shared" si="6"/>
        <v>1.6702932669489943</v>
      </c>
      <c r="M26" s="91">
        <f>Datos!$I$12*FGP!L26/100</f>
        <v>8258436.3075503418</v>
      </c>
      <c r="N26" s="101">
        <f t="shared" si="7"/>
        <v>15935806.103643415</v>
      </c>
      <c r="O26" s="100">
        <f t="shared" si="8"/>
        <v>3.2230641064562122</v>
      </c>
      <c r="P26" s="100">
        <f t="shared" si="9"/>
        <v>0.31026376360211738</v>
      </c>
      <c r="Q26" s="100">
        <f t="shared" si="10"/>
        <v>4.9143119050681587</v>
      </c>
      <c r="R26" s="100">
        <f t="shared" si="11"/>
        <v>0.49143119050681588</v>
      </c>
      <c r="S26" s="93">
        <f>Datos!$I$12*FGP!R26/100</f>
        <v>2429784.7968683154</v>
      </c>
      <c r="T26" s="94">
        <f t="shared" si="12"/>
        <v>55376002.710701734</v>
      </c>
      <c r="U26" s="95">
        <f t="shared" si="13"/>
        <v>3.7144952969630278</v>
      </c>
      <c r="V26" s="96"/>
      <c r="W26" s="97">
        <v>1.0987404654646735</v>
      </c>
      <c r="X26" s="97">
        <f t="shared" si="0"/>
        <v>0.27307960762826489</v>
      </c>
      <c r="Y26" s="98"/>
      <c r="Z26" s="98"/>
      <c r="AA26" s="96"/>
      <c r="AB26" s="96"/>
    </row>
    <row r="27" spans="1:28" s="6" customFormat="1" ht="16.5" customHeight="1" thickBot="1" x14ac:dyDescent="0.3">
      <c r="A27" s="102" t="s">
        <v>65</v>
      </c>
      <c r="B27" s="372">
        <v>3.1</v>
      </c>
      <c r="C27" s="373">
        <f t="shared" si="1"/>
        <v>30272368.499100003</v>
      </c>
      <c r="D27" s="374">
        <f>'CENSO 2015'!C29</f>
        <v>57418</v>
      </c>
      <c r="E27" s="375">
        <f t="shared" si="2"/>
        <v>4.8616061978747727</v>
      </c>
      <c r="F27" s="376">
        <f t="shared" si="3"/>
        <v>2.9169637187248636</v>
      </c>
      <c r="G27" s="377">
        <f>Datos!$I$12*FGP!F27/100</f>
        <v>14422352.983872803</v>
      </c>
      <c r="H27" s="378">
        <f>'Predial y Agua'!D28</f>
        <v>25915777</v>
      </c>
      <c r="I27" s="379">
        <f>'Predial y Agua'!G28</f>
        <v>37799533</v>
      </c>
      <c r="J27" s="375">
        <f t="shared" si="4"/>
        <v>1.4585529501970942</v>
      </c>
      <c r="K27" s="375">
        <f t="shared" si="5"/>
        <v>5.9196567149170862</v>
      </c>
      <c r="L27" s="375">
        <f t="shared" si="6"/>
        <v>1.7758970144751258</v>
      </c>
      <c r="M27" s="380">
        <f>Datos!$I$12*FGP!L27/100</f>
        <v>8780573.2520261034</v>
      </c>
      <c r="N27" s="381">
        <f t="shared" si="7"/>
        <v>23202926.235898905</v>
      </c>
      <c r="O27" s="375">
        <f t="shared" si="8"/>
        <v>4.6928607331999892</v>
      </c>
      <c r="P27" s="375">
        <f t="shared" si="9"/>
        <v>0.21308963910337808</v>
      </c>
      <c r="Q27" s="375">
        <f t="shared" si="10"/>
        <v>3.3751571183650202</v>
      </c>
      <c r="R27" s="375">
        <f t="shared" si="11"/>
        <v>0.33751571183650203</v>
      </c>
      <c r="S27" s="382">
        <f>Datos!$I$12*FGP!R27/100</f>
        <v>1668780.0065737704</v>
      </c>
      <c r="T27" s="383">
        <f t="shared" si="12"/>
        <v>55144074.741572686</v>
      </c>
      <c r="U27" s="95">
        <f t="shared" si="13"/>
        <v>5.0303764450364916</v>
      </c>
      <c r="V27" s="96"/>
      <c r="W27" s="97">
        <v>1.0459205946760619</v>
      </c>
      <c r="X27" s="97">
        <f t="shared" si="0"/>
        <v>0.41263235552103228</v>
      </c>
      <c r="Y27" s="98"/>
      <c r="Z27" s="98"/>
      <c r="AA27" s="96"/>
      <c r="AB27" s="96"/>
    </row>
    <row r="28" spans="1:28" s="6" customFormat="1" ht="16.5" customHeight="1" thickBot="1" x14ac:dyDescent="0.3">
      <c r="A28" s="103" t="s">
        <v>66</v>
      </c>
      <c r="B28" s="540">
        <f>SUM(B8:B27)</f>
        <v>100</v>
      </c>
      <c r="C28" s="541">
        <f>Datos!I10*22.5%</f>
        <v>976528016.10000002</v>
      </c>
      <c r="D28" s="271">
        <f>SUM(D8:D27)</f>
        <v>1181050</v>
      </c>
      <c r="E28" s="272">
        <f>SUM(E8:E27)</f>
        <v>100.00000000000001</v>
      </c>
      <c r="F28" s="273">
        <f t="shared" ref="F28:M28" si="14">SUM(F8:F27)</f>
        <v>59.999999999999993</v>
      </c>
      <c r="G28" s="274">
        <f>SUM(G8:G27)</f>
        <v>296658190.66500002</v>
      </c>
      <c r="H28" s="275">
        <f t="shared" si="14"/>
        <v>735767053</v>
      </c>
      <c r="I28" s="276">
        <f t="shared" si="14"/>
        <v>687130414</v>
      </c>
      <c r="J28" s="272">
        <f t="shared" si="14"/>
        <v>24.639147512078722</v>
      </c>
      <c r="K28" s="277">
        <f t="shared" si="14"/>
        <v>100</v>
      </c>
      <c r="L28" s="273">
        <f t="shared" si="14"/>
        <v>29.999999999999996</v>
      </c>
      <c r="M28" s="278">
        <f t="shared" si="14"/>
        <v>148329095.33250004</v>
      </c>
      <c r="N28" s="279">
        <f t="shared" si="7"/>
        <v>444987285.99750006</v>
      </c>
      <c r="O28" s="277">
        <f t="shared" ref="O28:T28" si="15">SUM(O8:O27)</f>
        <v>89.999999999999986</v>
      </c>
      <c r="P28" s="277">
        <f t="shared" si="15"/>
        <v>6.3134731697054178</v>
      </c>
      <c r="Q28" s="277">
        <f t="shared" si="15"/>
        <v>100</v>
      </c>
      <c r="R28" s="277">
        <f t="shared" si="15"/>
        <v>9.9999999999999982</v>
      </c>
      <c r="S28" s="278">
        <f>Datos!I17</f>
        <v>49443031.777500004</v>
      </c>
      <c r="T28" s="384">
        <f t="shared" si="15"/>
        <v>1470958333.875</v>
      </c>
      <c r="U28" s="95">
        <f t="shared" si="13"/>
        <v>99.999999999999986</v>
      </c>
      <c r="V28" s="96"/>
      <c r="W28" s="97">
        <f>SUM(W8:W27)</f>
        <v>24.538698253136822</v>
      </c>
      <c r="X28" s="97"/>
      <c r="Y28" s="98"/>
      <c r="Z28" s="98"/>
      <c r="AA28" s="96"/>
      <c r="AB28" s="96"/>
    </row>
    <row r="29" spans="1:28" s="6" customFormat="1" ht="16.5" customHeight="1" x14ac:dyDescent="0.25">
      <c r="A29" s="819" t="s">
        <v>300</v>
      </c>
      <c r="B29" s="819"/>
      <c r="C29" s="819"/>
      <c r="D29" s="819"/>
      <c r="E29" s="819"/>
      <c r="F29" s="819"/>
      <c r="G29" s="819"/>
      <c r="H29" s="819"/>
      <c r="I29" s="819"/>
      <c r="J29" s="819"/>
      <c r="K29" s="819"/>
      <c r="L29" s="819"/>
      <c r="M29" s="819"/>
      <c r="N29" s="819"/>
      <c r="O29" s="819"/>
      <c r="P29" s="819"/>
      <c r="Q29" s="819"/>
      <c r="R29" s="819"/>
      <c r="S29" s="819"/>
      <c r="T29" s="819"/>
      <c r="U29" s="542"/>
      <c r="V29" s="96"/>
      <c r="W29" s="97"/>
      <c r="X29" s="97"/>
      <c r="Y29" s="98"/>
      <c r="Z29" s="98"/>
      <c r="AA29" s="96"/>
      <c r="AB29" s="96"/>
    </row>
    <row r="30" spans="1:28" s="6" customFormat="1" ht="21.75" customHeight="1" x14ac:dyDescent="0.25">
      <c r="A30" s="543"/>
      <c r="B30" s="574" t="s">
        <v>82</v>
      </c>
      <c r="C30" s="543"/>
      <c r="D30" s="543"/>
      <c r="E30" s="543"/>
      <c r="F30" s="543"/>
      <c r="G30" s="544"/>
      <c r="H30" s="545"/>
      <c r="I30" s="544"/>
      <c r="J30" s="546"/>
      <c r="K30" s="546"/>
      <c r="L30" s="546"/>
      <c r="M30" s="546"/>
      <c r="N30" s="546"/>
      <c r="O30" s="546"/>
      <c r="P30" s="546"/>
      <c r="Q30" s="546"/>
      <c r="R30" s="546"/>
      <c r="S30" s="546"/>
      <c r="T30" s="546"/>
      <c r="X30" s="97"/>
    </row>
    <row r="31" spans="1:28" s="6" customFormat="1" ht="27" customHeight="1" x14ac:dyDescent="0.25">
      <c r="A31" s="543"/>
      <c r="B31" s="818" t="s">
        <v>302</v>
      </c>
      <c r="C31" s="818"/>
      <c r="D31" s="818"/>
      <c r="E31" s="818"/>
      <c r="F31" s="818"/>
      <c r="G31" s="818"/>
      <c r="H31" s="818"/>
      <c r="I31" s="818"/>
      <c r="J31" s="818"/>
      <c r="K31" s="818"/>
      <c r="L31" s="818"/>
      <c r="M31" s="818"/>
      <c r="N31" s="818"/>
      <c r="O31" s="818"/>
      <c r="P31" s="818"/>
      <c r="Q31" s="818"/>
      <c r="R31" s="818"/>
      <c r="S31" s="818"/>
      <c r="T31" s="818"/>
      <c r="X31" s="97"/>
    </row>
    <row r="32" spans="1:28" x14ac:dyDescent="0.25">
      <c r="A32" s="547"/>
      <c r="B32" s="820" t="s">
        <v>303</v>
      </c>
      <c r="C32" s="820"/>
      <c r="D32" s="820"/>
      <c r="E32" s="820"/>
      <c r="F32" s="820"/>
      <c r="G32" s="820"/>
      <c r="H32" s="820"/>
      <c r="I32" s="820"/>
      <c r="J32" s="820"/>
      <c r="K32" s="820"/>
      <c r="L32" s="820"/>
      <c r="M32" s="820"/>
      <c r="N32" s="820"/>
      <c r="O32" s="820"/>
      <c r="P32" s="820"/>
      <c r="Q32" s="820"/>
      <c r="R32" s="820"/>
      <c r="S32" s="820"/>
      <c r="T32" s="820"/>
    </row>
    <row r="33" spans="1:20" x14ac:dyDescent="0.25">
      <c r="A33" s="547"/>
      <c r="B33" s="820" t="s">
        <v>304</v>
      </c>
      <c r="C33" s="820"/>
      <c r="D33" s="820"/>
      <c r="E33" s="820"/>
      <c r="F33" s="820"/>
      <c r="G33" s="820"/>
      <c r="H33" s="820"/>
      <c r="I33" s="820"/>
      <c r="J33" s="820"/>
      <c r="K33" s="820"/>
      <c r="L33" s="820"/>
      <c r="M33" s="820"/>
      <c r="N33" s="820"/>
      <c r="O33" s="820"/>
      <c r="P33" s="820"/>
      <c r="Q33" s="820"/>
      <c r="R33" s="820"/>
      <c r="S33" s="820"/>
      <c r="T33" s="820"/>
    </row>
    <row r="34" spans="1:20" x14ac:dyDescent="0.25">
      <c r="A34" s="547"/>
      <c r="B34" s="817" t="s">
        <v>372</v>
      </c>
      <c r="C34" s="817"/>
      <c r="D34" s="817"/>
      <c r="E34" s="817"/>
      <c r="F34" s="817"/>
      <c r="G34" s="817"/>
      <c r="H34" s="817"/>
      <c r="I34" s="817"/>
      <c r="J34" s="817"/>
      <c r="K34" s="817"/>
      <c r="L34" s="817"/>
      <c r="M34" s="817"/>
      <c r="N34" s="817"/>
      <c r="O34" s="817"/>
      <c r="P34" s="817"/>
      <c r="Q34" s="817"/>
      <c r="R34" s="817"/>
      <c r="S34" s="817"/>
      <c r="T34" s="817"/>
    </row>
    <row r="38" spans="1:20" x14ac:dyDescent="0.25">
      <c r="G38" s="368"/>
    </row>
    <row r="43" spans="1:20" x14ac:dyDescent="0.25">
      <c r="L43" s="81"/>
    </row>
    <row r="44" spans="1:20" x14ac:dyDescent="0.25">
      <c r="L44" s="81"/>
    </row>
    <row r="45" spans="1:20" x14ac:dyDescent="0.25">
      <c r="L45" s="81"/>
    </row>
    <row r="46" spans="1:20" x14ac:dyDescent="0.25">
      <c r="L46" s="81"/>
    </row>
    <row r="47" spans="1:20" x14ac:dyDescent="0.25">
      <c r="L47" s="81"/>
    </row>
    <row r="48" spans="1:20" x14ac:dyDescent="0.25">
      <c r="L48" s="81"/>
    </row>
    <row r="49" spans="12:12" x14ac:dyDescent="0.25">
      <c r="L49" s="81"/>
    </row>
    <row r="50" spans="12:12" x14ac:dyDescent="0.25">
      <c r="L50" s="81"/>
    </row>
    <row r="51" spans="12:12" x14ac:dyDescent="0.25">
      <c r="L51" s="81"/>
    </row>
    <row r="52" spans="12:12" x14ac:dyDescent="0.25">
      <c r="L52" s="81"/>
    </row>
    <row r="53" spans="12:12" x14ac:dyDescent="0.25">
      <c r="L53" s="81"/>
    </row>
    <row r="54" spans="12:12" x14ac:dyDescent="0.25">
      <c r="L54" s="81"/>
    </row>
    <row r="55" spans="12:12" x14ac:dyDescent="0.25">
      <c r="L55" s="81"/>
    </row>
    <row r="56" spans="12:12" x14ac:dyDescent="0.25">
      <c r="L56" s="81"/>
    </row>
    <row r="57" spans="12:12" x14ac:dyDescent="0.25">
      <c r="L57" s="81"/>
    </row>
    <row r="58" spans="12:12" x14ac:dyDescent="0.25">
      <c r="L58" s="81"/>
    </row>
    <row r="59" spans="12:12" x14ac:dyDescent="0.25">
      <c r="L59" s="81"/>
    </row>
    <row r="60" spans="12:12" x14ac:dyDescent="0.25">
      <c r="L60" s="81"/>
    </row>
    <row r="61" spans="12:12" x14ac:dyDescent="0.25">
      <c r="L61" s="81"/>
    </row>
    <row r="62" spans="12:12" x14ac:dyDescent="0.25">
      <c r="L62" s="81"/>
    </row>
    <row r="63" spans="12:12" x14ac:dyDescent="0.25">
      <c r="L63" s="81"/>
    </row>
  </sheetData>
  <mergeCells count="25">
    <mergeCell ref="B3:B6"/>
    <mergeCell ref="A1:T1"/>
    <mergeCell ref="A3:A7"/>
    <mergeCell ref="H4:J5"/>
    <mergeCell ref="K4:K6"/>
    <mergeCell ref="N4:N6"/>
    <mergeCell ref="M4:M6"/>
    <mergeCell ref="O4:O6"/>
    <mergeCell ref="P4:P6"/>
    <mergeCell ref="Q4:Q6"/>
    <mergeCell ref="S4:S6"/>
    <mergeCell ref="C3:C6"/>
    <mergeCell ref="G4:G6"/>
    <mergeCell ref="T3:T6"/>
    <mergeCell ref="U3:U7"/>
    <mergeCell ref="E4:E5"/>
    <mergeCell ref="D3:G3"/>
    <mergeCell ref="H3:M3"/>
    <mergeCell ref="N3:S3"/>
    <mergeCell ref="R4:R6"/>
    <mergeCell ref="B34:T34"/>
    <mergeCell ref="B31:T31"/>
    <mergeCell ref="A29:T29"/>
    <mergeCell ref="B32:T32"/>
    <mergeCell ref="B33:T33"/>
  </mergeCells>
  <pageMargins left="0.70866141732283472" right="0.21" top="0.74803149606299213" bottom="0.74803149606299213" header="0.31496062992125984" footer="0.31496062992125984"/>
  <pageSetup paperSize="5" scale="52"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activeCell="G41" sqref="G41"/>
    </sheetView>
  </sheetViews>
  <sheetFormatPr baseColWidth="10" defaultRowHeight="12.75" x14ac:dyDescent="0.2"/>
  <cols>
    <col min="1" max="1" width="16" style="695" customWidth="1"/>
    <col min="2" max="2" width="9.42578125" style="695" bestFit="1" customWidth="1"/>
    <col min="3" max="14" width="12.7109375" style="695" bestFit="1" customWidth="1"/>
    <col min="15" max="15" width="14" style="695" bestFit="1" customWidth="1"/>
    <col min="16"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40">
        <f>'[3]F.F.M. simplif'!E16</f>
        <v>0</v>
      </c>
      <c r="C7" s="727">
        <f t="shared" ref="C7:C26" si="0">$C$31*B7/100</f>
        <v>0</v>
      </c>
      <c r="D7" s="728">
        <f t="shared" ref="D7:D11" si="1">$D$32*B7/100</f>
        <v>0</v>
      </c>
      <c r="E7" s="727">
        <f t="shared" ref="E7:E11" si="2">$E$32*B7/100</f>
        <v>0</v>
      </c>
      <c r="F7" s="728">
        <f t="shared" ref="F7:F11" si="3">$F$32*B7/100</f>
        <v>0</v>
      </c>
      <c r="G7" s="727">
        <f t="shared" ref="G7:G11" si="4">$G$32*B7/100</f>
        <v>0</v>
      </c>
      <c r="H7" s="727">
        <f t="shared" ref="H7:H11" si="5">$H$32*B7/100</f>
        <v>0</v>
      </c>
      <c r="I7" s="727">
        <f t="shared" ref="I7:I11" si="6">$I$32*B7/100</f>
        <v>0</v>
      </c>
      <c r="J7" s="728">
        <f t="shared" ref="J7:J11" si="7">$J$32*B7/100</f>
        <v>0</v>
      </c>
      <c r="K7" s="727">
        <f t="shared" ref="K7:K11" si="8">$K$32*B7/100</f>
        <v>0</v>
      </c>
      <c r="L7" s="728">
        <f t="shared" ref="L7:L11" si="9">$L$32*B7/100</f>
        <v>0</v>
      </c>
      <c r="M7" s="727">
        <f t="shared" ref="M7:M11" si="10">$M$32*B7/100</f>
        <v>0</v>
      </c>
      <c r="N7" s="727">
        <f t="shared" ref="N7:N11" si="11">$N$32*B7/100</f>
        <v>0</v>
      </c>
      <c r="O7" s="730">
        <f t="shared" ref="O7:O27" si="12">SUM(C7:N7)</f>
        <v>0</v>
      </c>
    </row>
    <row r="8" spans="1:15" x14ac:dyDescent="0.2">
      <c r="A8" s="700" t="s">
        <v>149</v>
      </c>
      <c r="B8" s="740">
        <f>'[3]F.F.M. simplif'!E17</f>
        <v>0</v>
      </c>
      <c r="C8" s="727">
        <f t="shared" si="0"/>
        <v>0</v>
      </c>
      <c r="D8" s="728">
        <f t="shared" si="1"/>
        <v>0</v>
      </c>
      <c r="E8" s="727">
        <f t="shared" si="2"/>
        <v>0</v>
      </c>
      <c r="F8" s="728">
        <f t="shared" si="3"/>
        <v>0</v>
      </c>
      <c r="G8" s="727">
        <f t="shared" si="4"/>
        <v>0</v>
      </c>
      <c r="H8" s="727">
        <f t="shared" si="5"/>
        <v>0</v>
      </c>
      <c r="I8" s="727">
        <f t="shared" si="6"/>
        <v>0</v>
      </c>
      <c r="J8" s="728">
        <f t="shared" si="7"/>
        <v>0</v>
      </c>
      <c r="K8" s="727">
        <f t="shared" si="8"/>
        <v>0</v>
      </c>
      <c r="L8" s="728">
        <f t="shared" si="9"/>
        <v>0</v>
      </c>
      <c r="M8" s="727">
        <f t="shared" si="10"/>
        <v>0</v>
      </c>
      <c r="N8" s="727">
        <f t="shared" si="11"/>
        <v>0</v>
      </c>
      <c r="O8" s="730">
        <f t="shared" si="12"/>
        <v>0</v>
      </c>
    </row>
    <row r="9" spans="1:15" x14ac:dyDescent="0.2">
      <c r="A9" s="700" t="s">
        <v>150</v>
      </c>
      <c r="B9" s="740">
        <f>'[3]F.F.M. simplif'!E18</f>
        <v>0</v>
      </c>
      <c r="C9" s="727">
        <f t="shared" si="0"/>
        <v>0</v>
      </c>
      <c r="D9" s="728">
        <f t="shared" si="1"/>
        <v>0</v>
      </c>
      <c r="E9" s="727">
        <f t="shared" si="2"/>
        <v>0</v>
      </c>
      <c r="F9" s="728">
        <f t="shared" si="3"/>
        <v>0</v>
      </c>
      <c r="G9" s="727">
        <f t="shared" si="4"/>
        <v>0</v>
      </c>
      <c r="H9" s="727">
        <f t="shared" si="5"/>
        <v>0</v>
      </c>
      <c r="I9" s="727">
        <f t="shared" si="6"/>
        <v>0</v>
      </c>
      <c r="J9" s="728">
        <f t="shared" si="7"/>
        <v>0</v>
      </c>
      <c r="K9" s="727">
        <f t="shared" si="8"/>
        <v>0</v>
      </c>
      <c r="L9" s="728">
        <f t="shared" si="9"/>
        <v>0</v>
      </c>
      <c r="M9" s="727">
        <f t="shared" si="10"/>
        <v>0</v>
      </c>
      <c r="N9" s="727">
        <f t="shared" si="11"/>
        <v>0</v>
      </c>
      <c r="O9" s="730">
        <f t="shared" si="12"/>
        <v>0</v>
      </c>
    </row>
    <row r="10" spans="1:15" x14ac:dyDescent="0.2">
      <c r="A10" s="700" t="s">
        <v>288</v>
      </c>
      <c r="B10" s="740">
        <f>'[3]F.F.M. simplif'!E19</f>
        <v>0</v>
      </c>
      <c r="C10" s="727">
        <f t="shared" si="0"/>
        <v>0</v>
      </c>
      <c r="D10" s="728">
        <f t="shared" si="1"/>
        <v>0</v>
      </c>
      <c r="E10" s="727">
        <f t="shared" si="2"/>
        <v>0</v>
      </c>
      <c r="F10" s="728">
        <f t="shared" si="3"/>
        <v>0</v>
      </c>
      <c r="G10" s="727">
        <f t="shared" si="4"/>
        <v>0</v>
      </c>
      <c r="H10" s="727">
        <f t="shared" si="5"/>
        <v>0</v>
      </c>
      <c r="I10" s="727">
        <f t="shared" si="6"/>
        <v>0</v>
      </c>
      <c r="J10" s="728">
        <f t="shared" si="7"/>
        <v>0</v>
      </c>
      <c r="K10" s="727">
        <f t="shared" si="8"/>
        <v>0</v>
      </c>
      <c r="L10" s="728">
        <f t="shared" si="9"/>
        <v>0</v>
      </c>
      <c r="M10" s="727">
        <f t="shared" si="10"/>
        <v>0</v>
      </c>
      <c r="N10" s="727">
        <f t="shared" si="11"/>
        <v>0</v>
      </c>
      <c r="O10" s="730">
        <f t="shared" si="12"/>
        <v>0</v>
      </c>
    </row>
    <row r="11" spans="1:15" x14ac:dyDescent="0.2">
      <c r="A11" s="700" t="s">
        <v>152</v>
      </c>
      <c r="B11" s="740">
        <f>'[3]F.F.M. simplif'!E20</f>
        <v>0</v>
      </c>
      <c r="C11" s="727">
        <f t="shared" si="0"/>
        <v>0</v>
      </c>
      <c r="D11" s="728">
        <f t="shared" si="1"/>
        <v>0</v>
      </c>
      <c r="E11" s="727">
        <f t="shared" si="2"/>
        <v>0</v>
      </c>
      <c r="F11" s="728">
        <f t="shared" si="3"/>
        <v>0</v>
      </c>
      <c r="G11" s="727">
        <f t="shared" si="4"/>
        <v>0</v>
      </c>
      <c r="H11" s="727">
        <f t="shared" si="5"/>
        <v>0</v>
      </c>
      <c r="I11" s="727">
        <f t="shared" si="6"/>
        <v>0</v>
      </c>
      <c r="J11" s="728">
        <f t="shared" si="7"/>
        <v>0</v>
      </c>
      <c r="K11" s="727">
        <f t="shared" si="8"/>
        <v>0</v>
      </c>
      <c r="L11" s="728">
        <f t="shared" si="9"/>
        <v>0</v>
      </c>
      <c r="M11" s="727">
        <f t="shared" si="10"/>
        <v>0</v>
      </c>
      <c r="N11" s="727">
        <f t="shared" si="11"/>
        <v>0</v>
      </c>
      <c r="O11" s="730">
        <f t="shared" si="12"/>
        <v>0</v>
      </c>
    </row>
    <row r="12" spans="1:15" x14ac:dyDescent="0.2">
      <c r="A12" s="700" t="s">
        <v>289</v>
      </c>
      <c r="B12" s="740">
        <f>'[3]F.F.M. simplif'!E21</f>
        <v>0.43066263392016113</v>
      </c>
      <c r="C12" s="727">
        <f>$C$34*B12/100</f>
        <v>2838.0043827352406</v>
      </c>
      <c r="D12" s="728">
        <f>$D$34*B12/100</f>
        <v>13984.149273672972</v>
      </c>
      <c r="E12" s="727">
        <f>$E$34*B12/100</f>
        <v>9419.2234036963764</v>
      </c>
      <c r="F12" s="728">
        <f>$F$34*B12/100</f>
        <v>15856.733200888713</v>
      </c>
      <c r="G12" s="727">
        <f>$G$34*B12/100</f>
        <v>16719.550795194154</v>
      </c>
      <c r="H12" s="727">
        <f>$H$34*B12/100</f>
        <v>7488.1661740077825</v>
      </c>
      <c r="I12" s="727">
        <f>$I$34*B12/100</f>
        <v>6493.8066207424245</v>
      </c>
      <c r="J12" s="728">
        <f>$J$34*B12/100</f>
        <v>14326.996038873905</v>
      </c>
      <c r="K12" s="727">
        <f>$K$34*B12/100</f>
        <v>5079.8647044828986</v>
      </c>
      <c r="L12" s="728">
        <f>$L$34*B12/100</f>
        <v>5918.7670148778843</v>
      </c>
      <c r="M12" s="727">
        <f>$M$34*B12/100</f>
        <v>8969.0663924212604</v>
      </c>
      <c r="N12" s="727">
        <f>$N$34*B12/100</f>
        <v>5727.1628083074338</v>
      </c>
      <c r="O12" s="730">
        <f t="shared" si="12"/>
        <v>112821.49080990104</v>
      </c>
    </row>
    <row r="13" spans="1:15" x14ac:dyDescent="0.2">
      <c r="A13" s="700" t="s">
        <v>154</v>
      </c>
      <c r="B13" s="740">
        <f>'[3]F.F.M. simplif'!E22</f>
        <v>0.17504717510431025</v>
      </c>
      <c r="C13" s="727">
        <f t="shared" ref="C13:C25" si="13">$C$34*B13/100</f>
        <v>1153.5355310708301</v>
      </c>
      <c r="D13" s="728">
        <f t="shared" ref="D13:D26" si="14">$D$34*B13/100</f>
        <v>5683.9986425366315</v>
      </c>
      <c r="E13" s="727">
        <f t="shared" ref="E13:E26" si="15">$E$34*B13/100</f>
        <v>3828.5384396713712</v>
      </c>
      <c r="F13" s="728">
        <f t="shared" ref="F13:F26" si="16">$F$34*B13/100</f>
        <v>6445.1292835237437</v>
      </c>
      <c r="G13" s="727">
        <f t="shared" ref="G13:G26" si="17">$G$34*B13/100</f>
        <v>6795.8302048891774</v>
      </c>
      <c r="H13" s="727">
        <f t="shared" ref="H13:H26" si="18">$H$34*B13/100</f>
        <v>3043.6407346050692</v>
      </c>
      <c r="I13" s="727">
        <f t="shared" ref="I13:I26" si="19">$I$34*B13/100</f>
        <v>2639.4732561018081</v>
      </c>
      <c r="J13" s="728">
        <f t="shared" ref="J13:J26" si="20">$J$34*B13/100</f>
        <v>5823.3521712971506</v>
      </c>
      <c r="K13" s="727">
        <f t="shared" ref="K13:K26" si="21">$K$34*B13/100</f>
        <v>2064.7622904676505</v>
      </c>
      <c r="L13" s="728">
        <f t="shared" ref="L13:L26" si="22">$L$34*B13/100</f>
        <v>2405.7426032624335</v>
      </c>
      <c r="M13" s="727">
        <f t="shared" ref="M13:M26" si="23">$M$34*B13/100</f>
        <v>3645.5675780950305</v>
      </c>
      <c r="N13" s="727">
        <f t="shared" ref="N13:N26" si="24">$N$34*B13/100</f>
        <v>2327.8631392537727</v>
      </c>
      <c r="O13" s="730">
        <f t="shared" si="12"/>
        <v>45857.433874774673</v>
      </c>
    </row>
    <row r="14" spans="1:15" x14ac:dyDescent="0.2">
      <c r="A14" s="700" t="s">
        <v>155</v>
      </c>
      <c r="B14" s="740">
        <f>'[3]F.F.M. simplif'!E23</f>
        <v>0</v>
      </c>
      <c r="C14" s="727">
        <f t="shared" si="13"/>
        <v>0</v>
      </c>
      <c r="D14" s="728">
        <f t="shared" si="14"/>
        <v>0</v>
      </c>
      <c r="E14" s="727">
        <f t="shared" si="15"/>
        <v>0</v>
      </c>
      <c r="F14" s="728">
        <f t="shared" si="16"/>
        <v>0</v>
      </c>
      <c r="G14" s="727">
        <f t="shared" si="17"/>
        <v>0</v>
      </c>
      <c r="H14" s="727">
        <f t="shared" si="18"/>
        <v>0</v>
      </c>
      <c r="I14" s="727">
        <f t="shared" si="19"/>
        <v>0</v>
      </c>
      <c r="J14" s="728">
        <f t="shared" si="20"/>
        <v>0</v>
      </c>
      <c r="K14" s="727">
        <f t="shared" si="21"/>
        <v>0</v>
      </c>
      <c r="L14" s="728">
        <f t="shared" si="22"/>
        <v>0</v>
      </c>
      <c r="M14" s="727">
        <f t="shared" si="23"/>
        <v>0</v>
      </c>
      <c r="N14" s="727">
        <f t="shared" si="24"/>
        <v>0</v>
      </c>
      <c r="O14" s="730">
        <f t="shared" si="12"/>
        <v>0</v>
      </c>
    </row>
    <row r="15" spans="1:15" x14ac:dyDescent="0.2">
      <c r="A15" s="700" t="s">
        <v>156</v>
      </c>
      <c r="B15" s="740">
        <f>'[3]F.F.M. simplif'!E24</f>
        <v>0</v>
      </c>
      <c r="C15" s="727">
        <f t="shared" si="13"/>
        <v>0</v>
      </c>
      <c r="D15" s="728">
        <f t="shared" si="14"/>
        <v>0</v>
      </c>
      <c r="E15" s="727">
        <f t="shared" si="15"/>
        <v>0</v>
      </c>
      <c r="F15" s="728">
        <f t="shared" si="16"/>
        <v>0</v>
      </c>
      <c r="G15" s="727">
        <f t="shared" si="17"/>
        <v>0</v>
      </c>
      <c r="H15" s="727">
        <f t="shared" si="18"/>
        <v>0</v>
      </c>
      <c r="I15" s="727">
        <f t="shared" si="19"/>
        <v>0</v>
      </c>
      <c r="J15" s="728">
        <f t="shared" si="20"/>
        <v>0</v>
      </c>
      <c r="K15" s="727">
        <f t="shared" si="21"/>
        <v>0</v>
      </c>
      <c r="L15" s="728">
        <f t="shared" si="22"/>
        <v>0</v>
      </c>
      <c r="M15" s="727">
        <f t="shared" si="23"/>
        <v>0</v>
      </c>
      <c r="N15" s="727">
        <f t="shared" si="24"/>
        <v>0</v>
      </c>
      <c r="O15" s="730">
        <f t="shared" si="12"/>
        <v>0</v>
      </c>
    </row>
    <row r="16" spans="1:15" x14ac:dyDescent="0.2">
      <c r="A16" s="700" t="s">
        <v>157</v>
      </c>
      <c r="B16" s="740">
        <f>'[3]F.F.M. simplif'!E25</f>
        <v>0</v>
      </c>
      <c r="C16" s="727">
        <f t="shared" si="13"/>
        <v>0</v>
      </c>
      <c r="D16" s="728">
        <f t="shared" si="14"/>
        <v>0</v>
      </c>
      <c r="E16" s="727">
        <f t="shared" si="15"/>
        <v>0</v>
      </c>
      <c r="F16" s="728">
        <f t="shared" si="16"/>
        <v>0</v>
      </c>
      <c r="G16" s="727">
        <f t="shared" si="17"/>
        <v>0</v>
      </c>
      <c r="H16" s="727">
        <f t="shared" si="18"/>
        <v>0</v>
      </c>
      <c r="I16" s="727">
        <f t="shared" si="19"/>
        <v>0</v>
      </c>
      <c r="J16" s="728">
        <f t="shared" si="20"/>
        <v>0</v>
      </c>
      <c r="K16" s="727">
        <f t="shared" si="21"/>
        <v>0</v>
      </c>
      <c r="L16" s="728">
        <f t="shared" si="22"/>
        <v>0</v>
      </c>
      <c r="M16" s="727">
        <f t="shared" si="23"/>
        <v>0</v>
      </c>
      <c r="N16" s="727">
        <f t="shared" si="24"/>
        <v>0</v>
      </c>
      <c r="O16" s="730">
        <f t="shared" si="12"/>
        <v>0</v>
      </c>
    </row>
    <row r="17" spans="1:16" x14ac:dyDescent="0.2">
      <c r="A17" s="700" t="s">
        <v>158</v>
      </c>
      <c r="B17" s="740">
        <f>'[3]F.F.M. simplif'!E26</f>
        <v>19.045359133028132</v>
      </c>
      <c r="C17" s="727">
        <f t="shared" si="13"/>
        <v>125506.15826196974</v>
      </c>
      <c r="D17" s="728">
        <f t="shared" si="14"/>
        <v>618426.40644869779</v>
      </c>
      <c r="E17" s="727">
        <f t="shared" si="15"/>
        <v>416549.93572272157</v>
      </c>
      <c r="F17" s="728">
        <f t="shared" si="16"/>
        <v>701238.40496345994</v>
      </c>
      <c r="G17" s="727">
        <f t="shared" si="17"/>
        <v>739395.11895617878</v>
      </c>
      <c r="H17" s="727">
        <f t="shared" si="18"/>
        <v>331152.04988554976</v>
      </c>
      <c r="I17" s="727">
        <f t="shared" si="19"/>
        <v>287178.10529947968</v>
      </c>
      <c r="J17" s="728">
        <f t="shared" si="20"/>
        <v>633588.25067793089</v>
      </c>
      <c r="K17" s="727">
        <f t="shared" si="21"/>
        <v>224648.80865890571</v>
      </c>
      <c r="L17" s="728">
        <f t="shared" si="22"/>
        <v>261747.9078623009</v>
      </c>
      <c r="M17" s="727">
        <f t="shared" si="23"/>
        <v>396642.4692496155</v>
      </c>
      <c r="N17" s="727">
        <f t="shared" si="24"/>
        <v>253274.52141519706</v>
      </c>
      <c r="O17" s="730">
        <f t="shared" si="12"/>
        <v>4989348.1374020074</v>
      </c>
    </row>
    <row r="18" spans="1:16" x14ac:dyDescent="0.2">
      <c r="A18" s="700" t="s">
        <v>159</v>
      </c>
      <c r="B18" s="740">
        <f>'[3]F.F.M. simplif'!E27</f>
        <v>0</v>
      </c>
      <c r="C18" s="727">
        <f t="shared" si="13"/>
        <v>0</v>
      </c>
      <c r="D18" s="728">
        <f t="shared" si="14"/>
        <v>0</v>
      </c>
      <c r="E18" s="727">
        <f t="shared" si="15"/>
        <v>0</v>
      </c>
      <c r="F18" s="728">
        <f t="shared" si="16"/>
        <v>0</v>
      </c>
      <c r="G18" s="727">
        <f t="shared" si="17"/>
        <v>0</v>
      </c>
      <c r="H18" s="727">
        <f t="shared" si="18"/>
        <v>0</v>
      </c>
      <c r="I18" s="727">
        <f t="shared" si="19"/>
        <v>0</v>
      </c>
      <c r="J18" s="728">
        <f t="shared" si="20"/>
        <v>0</v>
      </c>
      <c r="K18" s="727">
        <f t="shared" si="21"/>
        <v>0</v>
      </c>
      <c r="L18" s="728">
        <f t="shared" si="22"/>
        <v>0</v>
      </c>
      <c r="M18" s="727">
        <f t="shared" si="23"/>
        <v>0</v>
      </c>
      <c r="N18" s="727">
        <f t="shared" si="24"/>
        <v>0</v>
      </c>
      <c r="O18" s="730">
        <f t="shared" si="12"/>
        <v>0</v>
      </c>
    </row>
    <row r="19" spans="1:16" x14ac:dyDescent="0.2">
      <c r="A19" s="700" t="s">
        <v>160</v>
      </c>
      <c r="B19" s="740">
        <f>'[3]F.F.M. simplif'!E28</f>
        <v>0</v>
      </c>
      <c r="C19" s="727">
        <f t="shared" si="13"/>
        <v>0</v>
      </c>
      <c r="D19" s="728">
        <f t="shared" si="14"/>
        <v>0</v>
      </c>
      <c r="E19" s="727">
        <f t="shared" si="15"/>
        <v>0</v>
      </c>
      <c r="F19" s="728">
        <f t="shared" si="16"/>
        <v>0</v>
      </c>
      <c r="G19" s="727">
        <f t="shared" si="17"/>
        <v>0</v>
      </c>
      <c r="H19" s="727">
        <f t="shared" si="18"/>
        <v>0</v>
      </c>
      <c r="I19" s="727">
        <f t="shared" si="19"/>
        <v>0</v>
      </c>
      <c r="J19" s="728">
        <f t="shared" si="20"/>
        <v>0</v>
      </c>
      <c r="K19" s="727">
        <f t="shared" si="21"/>
        <v>0</v>
      </c>
      <c r="L19" s="728">
        <f t="shared" si="22"/>
        <v>0</v>
      </c>
      <c r="M19" s="727">
        <f t="shared" si="23"/>
        <v>0</v>
      </c>
      <c r="N19" s="727">
        <f t="shared" si="24"/>
        <v>0</v>
      </c>
      <c r="O19" s="730">
        <f t="shared" si="12"/>
        <v>0</v>
      </c>
    </row>
    <row r="20" spans="1:16" x14ac:dyDescent="0.2">
      <c r="A20" s="700" t="s">
        <v>290</v>
      </c>
      <c r="B20" s="740">
        <f>'[3]F.F.M. simplif'!E29</f>
        <v>0</v>
      </c>
      <c r="C20" s="727">
        <f t="shared" si="13"/>
        <v>0</v>
      </c>
      <c r="D20" s="728">
        <f t="shared" si="14"/>
        <v>0</v>
      </c>
      <c r="E20" s="727">
        <f t="shared" si="15"/>
        <v>0</v>
      </c>
      <c r="F20" s="728">
        <f t="shared" si="16"/>
        <v>0</v>
      </c>
      <c r="G20" s="727">
        <f t="shared" si="17"/>
        <v>0</v>
      </c>
      <c r="H20" s="727">
        <f t="shared" si="18"/>
        <v>0</v>
      </c>
      <c r="I20" s="727">
        <f t="shared" si="19"/>
        <v>0</v>
      </c>
      <c r="J20" s="728">
        <f t="shared" si="20"/>
        <v>0</v>
      </c>
      <c r="K20" s="727">
        <f t="shared" si="21"/>
        <v>0</v>
      </c>
      <c r="L20" s="728">
        <f t="shared" si="22"/>
        <v>0</v>
      </c>
      <c r="M20" s="727">
        <f t="shared" si="23"/>
        <v>0</v>
      </c>
      <c r="N20" s="727">
        <f t="shared" si="24"/>
        <v>0</v>
      </c>
      <c r="O20" s="730">
        <f t="shared" si="12"/>
        <v>0</v>
      </c>
    </row>
    <row r="21" spans="1:16" x14ac:dyDescent="0.2">
      <c r="A21" s="700" t="s">
        <v>291</v>
      </c>
      <c r="B21" s="740">
        <f>'[3]F.F.M. simplif'!E30</f>
        <v>0</v>
      </c>
      <c r="C21" s="727">
        <f t="shared" si="13"/>
        <v>0</v>
      </c>
      <c r="D21" s="728">
        <f t="shared" si="14"/>
        <v>0</v>
      </c>
      <c r="E21" s="727">
        <f t="shared" si="15"/>
        <v>0</v>
      </c>
      <c r="F21" s="728">
        <f t="shared" si="16"/>
        <v>0</v>
      </c>
      <c r="G21" s="727">
        <f t="shared" si="17"/>
        <v>0</v>
      </c>
      <c r="H21" s="727">
        <f t="shared" si="18"/>
        <v>0</v>
      </c>
      <c r="I21" s="727">
        <f t="shared" si="19"/>
        <v>0</v>
      </c>
      <c r="J21" s="728">
        <f t="shared" si="20"/>
        <v>0</v>
      </c>
      <c r="K21" s="727">
        <f t="shared" si="21"/>
        <v>0</v>
      </c>
      <c r="L21" s="728">
        <f t="shared" si="22"/>
        <v>0</v>
      </c>
      <c r="M21" s="727">
        <f t="shared" si="23"/>
        <v>0</v>
      </c>
      <c r="N21" s="727">
        <f t="shared" si="24"/>
        <v>0</v>
      </c>
      <c r="O21" s="730">
        <f t="shared" si="12"/>
        <v>0</v>
      </c>
    </row>
    <row r="22" spans="1:16" x14ac:dyDescent="0.2">
      <c r="A22" s="700" t="s">
        <v>292</v>
      </c>
      <c r="B22" s="740">
        <f>'[3]F.F.M. simplif'!E31</f>
        <v>63.082353885859412</v>
      </c>
      <c r="C22" s="727">
        <f t="shared" si="13"/>
        <v>415703.57560789393</v>
      </c>
      <c r="D22" s="728">
        <f t="shared" si="14"/>
        <v>2048362.1837460392</v>
      </c>
      <c r="E22" s="727">
        <f t="shared" si="15"/>
        <v>1379703.5946055583</v>
      </c>
      <c r="F22" s="728">
        <f t="shared" si="16"/>
        <v>2322653.4564815671</v>
      </c>
      <c r="G22" s="727">
        <f t="shared" si="17"/>
        <v>2449036.7563919378</v>
      </c>
      <c r="H22" s="727">
        <f t="shared" si="18"/>
        <v>1096847.3030619412</v>
      </c>
      <c r="I22" s="727">
        <f t="shared" si="19"/>
        <v>951196.07565478492</v>
      </c>
      <c r="J22" s="728">
        <f t="shared" si="20"/>
        <v>2098581.4952617832</v>
      </c>
      <c r="K22" s="727">
        <f t="shared" si="21"/>
        <v>744085.50392111286</v>
      </c>
      <c r="L22" s="728">
        <f t="shared" si="22"/>
        <v>866965.75461361243</v>
      </c>
      <c r="M22" s="727">
        <f t="shared" si="23"/>
        <v>1313765.7545125587</v>
      </c>
      <c r="N22" s="727">
        <f t="shared" si="24"/>
        <v>838900.06371567119</v>
      </c>
      <c r="O22" s="730">
        <f t="shared" si="12"/>
        <v>16525801.517574459</v>
      </c>
    </row>
    <row r="23" spans="1:16" x14ac:dyDescent="0.2">
      <c r="A23" s="700" t="s">
        <v>164</v>
      </c>
      <c r="B23" s="740">
        <f>'[3]F.F.M. simplif'!E32</f>
        <v>0</v>
      </c>
      <c r="C23" s="727">
        <f t="shared" si="13"/>
        <v>0</v>
      </c>
      <c r="D23" s="728">
        <f t="shared" si="14"/>
        <v>0</v>
      </c>
      <c r="E23" s="727">
        <f t="shared" si="15"/>
        <v>0</v>
      </c>
      <c r="F23" s="728">
        <f t="shared" si="16"/>
        <v>0</v>
      </c>
      <c r="G23" s="727">
        <f t="shared" si="17"/>
        <v>0</v>
      </c>
      <c r="H23" s="727">
        <f t="shared" si="18"/>
        <v>0</v>
      </c>
      <c r="I23" s="727">
        <f t="shared" si="19"/>
        <v>0</v>
      </c>
      <c r="J23" s="728">
        <f t="shared" si="20"/>
        <v>0</v>
      </c>
      <c r="K23" s="727">
        <f t="shared" si="21"/>
        <v>0</v>
      </c>
      <c r="L23" s="728">
        <f t="shared" si="22"/>
        <v>0</v>
      </c>
      <c r="M23" s="727">
        <f t="shared" si="23"/>
        <v>0</v>
      </c>
      <c r="N23" s="727">
        <f t="shared" si="24"/>
        <v>0</v>
      </c>
      <c r="O23" s="730">
        <f t="shared" si="12"/>
        <v>0</v>
      </c>
    </row>
    <row r="24" spans="1:16" x14ac:dyDescent="0.2">
      <c r="A24" s="700" t="s">
        <v>165</v>
      </c>
      <c r="B24" s="740">
        <f>'[3]F.F.M. simplif'!E33</f>
        <v>0</v>
      </c>
      <c r="C24" s="727">
        <f t="shared" si="13"/>
        <v>0</v>
      </c>
      <c r="D24" s="728">
        <f t="shared" si="14"/>
        <v>0</v>
      </c>
      <c r="E24" s="727">
        <f t="shared" si="15"/>
        <v>0</v>
      </c>
      <c r="F24" s="728">
        <f t="shared" si="16"/>
        <v>0</v>
      </c>
      <c r="G24" s="727">
        <f t="shared" si="17"/>
        <v>0</v>
      </c>
      <c r="H24" s="727">
        <f t="shared" si="18"/>
        <v>0</v>
      </c>
      <c r="I24" s="727">
        <f t="shared" si="19"/>
        <v>0</v>
      </c>
      <c r="J24" s="728">
        <f t="shared" si="20"/>
        <v>0</v>
      </c>
      <c r="K24" s="727">
        <f t="shared" si="21"/>
        <v>0</v>
      </c>
      <c r="L24" s="728">
        <f t="shared" si="22"/>
        <v>0</v>
      </c>
      <c r="M24" s="727">
        <f t="shared" si="23"/>
        <v>0</v>
      </c>
      <c r="N24" s="727">
        <f t="shared" si="24"/>
        <v>0</v>
      </c>
      <c r="O24" s="730">
        <f t="shared" si="12"/>
        <v>0</v>
      </c>
    </row>
    <row r="25" spans="1:16" x14ac:dyDescent="0.2">
      <c r="A25" s="700" t="s">
        <v>166</v>
      </c>
      <c r="B25" s="740">
        <f>'[3]F.F.M. simplif'!E34</f>
        <v>17.266577172087985</v>
      </c>
      <c r="C25" s="727">
        <f t="shared" si="13"/>
        <v>113784.24276833443</v>
      </c>
      <c r="D25" s="728">
        <f t="shared" si="14"/>
        <v>560667.15243430098</v>
      </c>
      <c r="E25" s="727">
        <f t="shared" si="15"/>
        <v>377645.36551646015</v>
      </c>
      <c r="F25" s="728">
        <f t="shared" si="16"/>
        <v>635744.74761864718</v>
      </c>
      <c r="G25" s="727">
        <f t="shared" si="17"/>
        <v>670337.73387775244</v>
      </c>
      <c r="H25" s="727">
        <f t="shared" si="18"/>
        <v>300223.39747472428</v>
      </c>
      <c r="I25" s="727">
        <f t="shared" si="19"/>
        <v>260356.49328808856</v>
      </c>
      <c r="J25" s="728">
        <f t="shared" si="20"/>
        <v>574412.92386484507</v>
      </c>
      <c r="K25" s="727">
        <f t="shared" si="21"/>
        <v>203667.25375106599</v>
      </c>
      <c r="L25" s="728">
        <f t="shared" si="22"/>
        <v>237301.40341115292</v>
      </c>
      <c r="M25" s="727">
        <f t="shared" si="23"/>
        <v>359597.19935914449</v>
      </c>
      <c r="N25" s="727">
        <f t="shared" si="24"/>
        <v>229619.40697433482</v>
      </c>
      <c r="O25" s="730">
        <f t="shared" si="12"/>
        <v>4523357.3203388518</v>
      </c>
    </row>
    <row r="26" spans="1:16" ht="13.5" thickBot="1" x14ac:dyDescent="0.25">
      <c r="A26" s="700" t="s">
        <v>167</v>
      </c>
      <c r="B26" s="740">
        <f>'[3]F.F.M. simplif'!E35</f>
        <v>0</v>
      </c>
      <c r="C26" s="727">
        <f t="shared" si="0"/>
        <v>0</v>
      </c>
      <c r="D26" s="728">
        <f t="shared" si="14"/>
        <v>0</v>
      </c>
      <c r="E26" s="727">
        <f t="shared" si="15"/>
        <v>0</v>
      </c>
      <c r="F26" s="728">
        <f t="shared" si="16"/>
        <v>0</v>
      </c>
      <c r="G26" s="727">
        <f t="shared" si="17"/>
        <v>0</v>
      </c>
      <c r="H26" s="727">
        <f t="shared" si="18"/>
        <v>0</v>
      </c>
      <c r="I26" s="727">
        <f t="shared" si="19"/>
        <v>0</v>
      </c>
      <c r="J26" s="728">
        <f t="shared" si="20"/>
        <v>0</v>
      </c>
      <c r="K26" s="727">
        <f t="shared" si="21"/>
        <v>0</v>
      </c>
      <c r="L26" s="728">
        <f t="shared" si="22"/>
        <v>0</v>
      </c>
      <c r="M26" s="727">
        <f t="shared" si="23"/>
        <v>0</v>
      </c>
      <c r="N26" s="727">
        <f t="shared" si="24"/>
        <v>0</v>
      </c>
      <c r="O26" s="730">
        <f t="shared" si="12"/>
        <v>0</v>
      </c>
    </row>
    <row r="27" spans="1:16" ht="13.5" thickBot="1" x14ac:dyDescent="0.25">
      <c r="A27" s="705" t="s">
        <v>293</v>
      </c>
      <c r="B27" s="742">
        <f>SUM(B7:B26)</f>
        <v>100</v>
      </c>
      <c r="C27" s="735">
        <f t="shared" ref="C27:N27" si="25">SUM(C7:C26)</f>
        <v>658985.51655200426</v>
      </c>
      <c r="D27" s="735">
        <f t="shared" si="25"/>
        <v>3247123.8905452476</v>
      </c>
      <c r="E27" s="735">
        <f t="shared" si="25"/>
        <v>2187146.6576881078</v>
      </c>
      <c r="F27" s="735">
        <f t="shared" si="25"/>
        <v>3681938.471548087</v>
      </c>
      <c r="G27" s="735">
        <f t="shared" si="25"/>
        <v>3882284.9902259526</v>
      </c>
      <c r="H27" s="735">
        <f t="shared" si="25"/>
        <v>1738754.5573308282</v>
      </c>
      <c r="I27" s="735">
        <f t="shared" si="25"/>
        <v>1507863.9541191976</v>
      </c>
      <c r="J27" s="735">
        <f t="shared" si="25"/>
        <v>3326733.0180147304</v>
      </c>
      <c r="K27" s="735">
        <f t="shared" si="25"/>
        <v>1179546.193326035</v>
      </c>
      <c r="L27" s="735">
        <f t="shared" si="25"/>
        <v>1374339.5755052066</v>
      </c>
      <c r="M27" s="735">
        <f t="shared" si="25"/>
        <v>2082620.057091835</v>
      </c>
      <c r="N27" s="735">
        <f t="shared" si="25"/>
        <v>1329849.0180527642</v>
      </c>
      <c r="O27" s="735">
        <f t="shared" si="12"/>
        <v>26197185.899999995</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t="s">
        <v>294</v>
      </c>
      <c r="M29" s="704"/>
      <c r="O29" s="704"/>
    </row>
    <row r="30" spans="1:16" x14ac:dyDescent="0.2">
      <c r="A30" s="695" t="s">
        <v>170</v>
      </c>
      <c r="B30" s="743"/>
      <c r="C30" s="704">
        <v>37628267.388506688</v>
      </c>
      <c r="D30" s="704">
        <v>51757900.301817484</v>
      </c>
      <c r="E30" s="704">
        <v>41865560.85896036</v>
      </c>
      <c r="F30" s="704">
        <v>50428929.238493621</v>
      </c>
      <c r="G30" s="704">
        <v>45213476.96741984</v>
      </c>
      <c r="H30" s="704">
        <v>40362062.524436101</v>
      </c>
      <c r="I30" s="704">
        <v>43692336.180397332</v>
      </c>
      <c r="J30" s="704">
        <v>44341481.060049102</v>
      </c>
      <c r="K30" s="704">
        <v>41020424.644420117</v>
      </c>
      <c r="L30" s="704">
        <v>41583359.918350689</v>
      </c>
      <c r="M30" s="704">
        <v>40183769.856972784</v>
      </c>
      <c r="N30" s="704">
        <v>41719928.060175888</v>
      </c>
      <c r="O30" s="704">
        <v>519797497</v>
      </c>
      <c r="P30" s="704"/>
    </row>
    <row r="31" spans="1:16" x14ac:dyDescent="0.2">
      <c r="A31" s="695" t="s">
        <v>421</v>
      </c>
      <c r="B31" s="744"/>
      <c r="C31" s="704">
        <v>35431649.000000007</v>
      </c>
      <c r="D31" s="704">
        <v>40934153.999999993</v>
      </c>
      <c r="E31" s="704">
        <v>34575072</v>
      </c>
      <c r="F31" s="704">
        <v>38155801</v>
      </c>
      <c r="G31" s="704">
        <v>32272527</v>
      </c>
      <c r="H31" s="704">
        <v>34566214.000000007</v>
      </c>
      <c r="I31" s="704">
        <v>38666123.000000007</v>
      </c>
      <c r="J31" s="704">
        <v>33252371</v>
      </c>
      <c r="K31" s="704">
        <v>37088604</v>
      </c>
      <c r="L31" s="704">
        <v>37002228</v>
      </c>
      <c r="M31" s="704">
        <v>33241703</v>
      </c>
      <c r="N31" s="704">
        <v>37287098.000000007</v>
      </c>
      <c r="O31" s="704">
        <v>432473544</v>
      </c>
      <c r="P31" s="704"/>
    </row>
    <row r="32" spans="1:16" x14ac:dyDescent="0.2">
      <c r="A32" s="695" t="s">
        <v>409</v>
      </c>
      <c r="B32" s="744"/>
      <c r="C32" s="704">
        <v>2196618.3885066807</v>
      </c>
      <c r="D32" s="704">
        <v>10823746.301817492</v>
      </c>
      <c r="E32" s="704">
        <v>7290488.8589603603</v>
      </c>
      <c r="F32" s="704">
        <v>12273128.238493621</v>
      </c>
      <c r="G32" s="704">
        <v>12940949.96741984</v>
      </c>
      <c r="H32" s="704">
        <v>5795848.5244360939</v>
      </c>
      <c r="I32" s="704">
        <v>5026213.1803973243</v>
      </c>
      <c r="J32" s="704">
        <v>11089110.060049102</v>
      </c>
      <c r="K32" s="704">
        <v>3931820.6444201171</v>
      </c>
      <c r="L32" s="704">
        <v>4581131.9183506891</v>
      </c>
      <c r="M32" s="704">
        <v>6942066.8569727838</v>
      </c>
      <c r="N32" s="704">
        <v>4432830.0601758808</v>
      </c>
      <c r="O32" s="704">
        <v>87323953</v>
      </c>
      <c r="P32" s="704"/>
    </row>
    <row r="33" spans="1:16" x14ac:dyDescent="0.2">
      <c r="A33" s="695">
        <v>0.7</v>
      </c>
      <c r="C33" s="704">
        <v>1537632.8719546765</v>
      </c>
      <c r="D33" s="704">
        <v>7576622.4112722436</v>
      </c>
      <c r="E33" s="704">
        <v>5103342.201272252</v>
      </c>
      <c r="F33" s="704">
        <v>8591189.7669455353</v>
      </c>
      <c r="G33" s="704">
        <v>9058664.9771938883</v>
      </c>
      <c r="H33" s="704">
        <v>4057093.9671052652</v>
      </c>
      <c r="I33" s="704">
        <v>3518349.2262781267</v>
      </c>
      <c r="J33" s="704">
        <v>7762377.0420343708</v>
      </c>
      <c r="K33" s="704">
        <v>2752274.4510940816</v>
      </c>
      <c r="L33" s="704">
        <v>3206792.3428454823</v>
      </c>
      <c r="M33" s="704">
        <v>4859446.7998809479</v>
      </c>
      <c r="N33" s="704">
        <v>3102981.0421231166</v>
      </c>
      <c r="O33" s="704">
        <v>61126767.099999994</v>
      </c>
      <c r="P33" s="704"/>
    </row>
    <row r="34" spans="1:16" x14ac:dyDescent="0.2">
      <c r="A34" s="695">
        <v>0.3</v>
      </c>
      <c r="C34" s="704">
        <v>658985.51655200415</v>
      </c>
      <c r="D34" s="704">
        <v>3247123.8905452476</v>
      </c>
      <c r="E34" s="704">
        <v>2187146.6576881078</v>
      </c>
      <c r="F34" s="704">
        <v>3681938.4715480865</v>
      </c>
      <c r="G34" s="704">
        <v>3882284.9902259521</v>
      </c>
      <c r="H34" s="704">
        <v>1738754.5573308282</v>
      </c>
      <c r="I34" s="704">
        <v>1507863.9541191973</v>
      </c>
      <c r="J34" s="704">
        <v>3326733.0180147304</v>
      </c>
      <c r="K34" s="704">
        <v>1179546.193326035</v>
      </c>
      <c r="L34" s="704">
        <v>1374339.5755052066</v>
      </c>
      <c r="M34" s="704">
        <v>2082620.057091835</v>
      </c>
      <c r="N34" s="704">
        <v>1329849.0180527642</v>
      </c>
      <c r="O34" s="704">
        <v>26197185.899999999</v>
      </c>
      <c r="P34" s="704"/>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3"/>
  <sheetViews>
    <sheetView workbookViewId="0">
      <selection activeCell="G41" sqref="G41"/>
    </sheetView>
  </sheetViews>
  <sheetFormatPr baseColWidth="10" defaultRowHeight="12.75" x14ac:dyDescent="0.2"/>
  <cols>
    <col min="1" max="1" width="16" style="695" customWidth="1"/>
    <col min="2" max="2" width="9.28515625" style="695" bestFit="1" customWidth="1"/>
    <col min="3" max="14" width="12.7109375" style="695" bestFit="1" customWidth="1"/>
    <col min="15" max="15" width="13.85546875" style="695" bestFit="1" customWidth="1"/>
    <col min="16"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34.5" thickBot="1" x14ac:dyDescent="0.25">
      <c r="A6" s="696" t="s">
        <v>14</v>
      </c>
      <c r="B6" s="745" t="s">
        <v>422</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ht="13.5" thickBot="1" x14ac:dyDescent="0.25">
      <c r="A7" s="700" t="s">
        <v>287</v>
      </c>
      <c r="B7" s="701">
        <v>2.3949180000000001</v>
      </c>
      <c r="C7" s="727">
        <f t="shared" ref="C7:C26" si="0">$C$32*B7/100</f>
        <v>36825.046424359505</v>
      </c>
      <c r="D7" s="728">
        <f t="shared" ref="D7:D26" si="1">$D$32*B7/100</f>
        <v>181453.89391959299</v>
      </c>
      <c r="E7" s="727">
        <f t="shared" ref="E7:E26" si="2">$E$32*B7/100</f>
        <v>122220.86097986539</v>
      </c>
      <c r="F7" s="728">
        <f t="shared" ref="F7:F26" si="3">$F$32*B7/100</f>
        <v>205751.95014273669</v>
      </c>
      <c r="G7" s="727">
        <f t="shared" ref="G7:G26" si="4">$G$32*B7/100</f>
        <v>216947.59809851233</v>
      </c>
      <c r="H7" s="727">
        <f t="shared" ref="H7:H26" si="5">$H$32*B7/100</f>
        <v>97164.073695118073</v>
      </c>
      <c r="I7" s="729">
        <f t="shared" ref="I7:I26" si="6">$I$32*B7/100</f>
        <v>84261.578922995584</v>
      </c>
      <c r="J7" s="728">
        <f t="shared" ref="J7:J26" si="7">$J$32*B7/100</f>
        <v>185902.56500754869</v>
      </c>
      <c r="K7" s="727">
        <f t="shared" ref="K7:K26" si="8">$K$32*B7/100</f>
        <v>65914.71623865336</v>
      </c>
      <c r="L7" s="728">
        <f t="shared" ref="L7:L26" si="9">$L$32*B7/100</f>
        <v>76800.047041428174</v>
      </c>
      <c r="M7" s="727">
        <f t="shared" ref="M7:M26" si="10">$M$32*B7/100</f>
        <v>116379.76611077281</v>
      </c>
      <c r="N7" s="727">
        <f t="shared" ref="N7:N26" si="11">$N$32*B7/100</f>
        <v>74313.851514394104</v>
      </c>
      <c r="O7" s="730">
        <f t="shared" ref="O7:O27" si="12">SUM(C7:N7)</f>
        <v>1463935.9480959778</v>
      </c>
    </row>
    <row r="8" spans="1:15" ht="13.5" thickBot="1" x14ac:dyDescent="0.25">
      <c r="A8" s="700" t="s">
        <v>149</v>
      </c>
      <c r="B8" s="701">
        <v>1.1480699999999999</v>
      </c>
      <c r="C8" s="727">
        <f t="shared" si="0"/>
        <v>17653.101713050051</v>
      </c>
      <c r="D8" s="728">
        <f t="shared" si="1"/>
        <v>86984.928917093246</v>
      </c>
      <c r="E8" s="727">
        <f t="shared" si="2"/>
        <v>58589.940810146341</v>
      </c>
      <c r="F8" s="728">
        <f t="shared" si="3"/>
        <v>98632.872357371598</v>
      </c>
      <c r="G8" s="727">
        <f t="shared" si="4"/>
        <v>103999.81500366986</v>
      </c>
      <c r="H8" s="727">
        <f t="shared" si="5"/>
        <v>46578.278708145415</v>
      </c>
      <c r="I8" s="729">
        <f t="shared" si="6"/>
        <v>40393.111962131283</v>
      </c>
      <c r="J8" s="728">
        <f t="shared" si="7"/>
        <v>89117.522106483986</v>
      </c>
      <c r="K8" s="727">
        <f t="shared" si="8"/>
        <v>31598.03729067582</v>
      </c>
      <c r="L8" s="728">
        <f t="shared" si="9"/>
        <v>36816.220850506128</v>
      </c>
      <c r="M8" s="727">
        <f t="shared" si="10"/>
        <v>55789.850875393196</v>
      </c>
      <c r="N8" s="727">
        <f t="shared" si="11"/>
        <v>35624.394450302862</v>
      </c>
      <c r="O8" s="730">
        <f t="shared" si="12"/>
        <v>701778.07504496968</v>
      </c>
    </row>
    <row r="9" spans="1:15" ht="13.5" thickBot="1" x14ac:dyDescent="0.25">
      <c r="A9" s="700" t="s">
        <v>150</v>
      </c>
      <c r="B9" s="701">
        <v>0.74234999999999995</v>
      </c>
      <c r="C9" s="727">
        <f t="shared" si="0"/>
        <v>11414.617624955541</v>
      </c>
      <c r="D9" s="728">
        <f t="shared" si="1"/>
        <v>56245.056470079493</v>
      </c>
      <c r="E9" s="727">
        <f t="shared" si="2"/>
        <v>37884.66083114456</v>
      </c>
      <c r="F9" s="728">
        <f t="shared" si="3"/>
        <v>63776.697234920182</v>
      </c>
      <c r="G9" s="727">
        <f t="shared" si="4"/>
        <v>67246.999458198829</v>
      </c>
      <c r="H9" s="727">
        <f t="shared" si="5"/>
        <v>30117.837064805935</v>
      </c>
      <c r="I9" s="729">
        <f t="shared" si="6"/>
        <v>26118.465481275674</v>
      </c>
      <c r="J9" s="728">
        <f t="shared" si="7"/>
        <v>57624.005971542152</v>
      </c>
      <c r="K9" s="727">
        <f t="shared" si="8"/>
        <v>20431.509387696915</v>
      </c>
      <c r="L9" s="728">
        <f t="shared" si="9"/>
        <v>23805.622957113435</v>
      </c>
      <c r="M9" s="727">
        <f t="shared" si="10"/>
        <v>36074.103318916212</v>
      </c>
      <c r="N9" s="727">
        <f t="shared" si="11"/>
        <v>23034.979766200951</v>
      </c>
      <c r="O9" s="730">
        <f t="shared" si="12"/>
        <v>453774.55556684989</v>
      </c>
    </row>
    <row r="10" spans="1:15" ht="13.5" thickBot="1" x14ac:dyDescent="0.25">
      <c r="A10" s="700" t="s">
        <v>288</v>
      </c>
      <c r="B10" s="701">
        <v>27.719256999999999</v>
      </c>
      <c r="C10" s="727">
        <f t="shared" si="0"/>
        <v>426220.40749359765</v>
      </c>
      <c r="D10" s="728">
        <f t="shared" si="1"/>
        <v>2100183.4381001503</v>
      </c>
      <c r="E10" s="727">
        <f t="shared" si="2"/>
        <v>1414608.5403601127</v>
      </c>
      <c r="F10" s="728">
        <f t="shared" si="3"/>
        <v>2381413.9708573339</v>
      </c>
      <c r="G10" s="727">
        <f t="shared" si="4"/>
        <v>2510994.6257973653</v>
      </c>
      <c r="H10" s="727">
        <f t="shared" si="5"/>
        <v>1124596.3034734039</v>
      </c>
      <c r="I10" s="729">
        <f t="shared" si="6"/>
        <v>975260.26418954553</v>
      </c>
      <c r="J10" s="728">
        <f t="shared" si="7"/>
        <v>2151673.2415905055</v>
      </c>
      <c r="K10" s="727">
        <f t="shared" si="8"/>
        <v>762910.02844410774</v>
      </c>
      <c r="L10" s="728">
        <f t="shared" si="9"/>
        <v>888899.01096966024</v>
      </c>
      <c r="M10" s="727">
        <f t="shared" si="10"/>
        <v>1347002.5472372756</v>
      </c>
      <c r="N10" s="727">
        <f t="shared" si="11"/>
        <v>860123.28972738492</v>
      </c>
      <c r="O10" s="730">
        <f t="shared" si="12"/>
        <v>16943885.668240443</v>
      </c>
    </row>
    <row r="11" spans="1:15" ht="13.5" thickBot="1" x14ac:dyDescent="0.25">
      <c r="A11" s="700" t="s">
        <v>152</v>
      </c>
      <c r="B11" s="701">
        <v>5.0982849999999997</v>
      </c>
      <c r="C11" s="727">
        <f t="shared" si="0"/>
        <v>78392.906065934483</v>
      </c>
      <c r="D11" s="728">
        <f t="shared" si="1"/>
        <v>386277.80390053109</v>
      </c>
      <c r="E11" s="727">
        <f t="shared" si="2"/>
        <v>260182.92994613302</v>
      </c>
      <c r="F11" s="728">
        <f t="shared" si="3"/>
        <v>438003.33920971915</v>
      </c>
      <c r="G11" s="727">
        <f t="shared" si="4"/>
        <v>461836.55773252941</v>
      </c>
      <c r="H11" s="727">
        <f t="shared" si="5"/>
        <v>206842.21316083267</v>
      </c>
      <c r="I11" s="729">
        <f t="shared" si="6"/>
        <v>179375.4708509538</v>
      </c>
      <c r="J11" s="728">
        <f t="shared" si="7"/>
        <v>395748.10437748203</v>
      </c>
      <c r="K11" s="727">
        <f t="shared" si="8"/>
        <v>140318.7954989619</v>
      </c>
      <c r="L11" s="728">
        <f t="shared" si="9"/>
        <v>163491.41299643979</v>
      </c>
      <c r="M11" s="727">
        <f t="shared" si="10"/>
        <v>247748.44728131036</v>
      </c>
      <c r="N11" s="727">
        <f t="shared" si="11"/>
        <v>158198.81702340653</v>
      </c>
      <c r="O11" s="730">
        <f t="shared" si="12"/>
        <v>3116416.7980442345</v>
      </c>
    </row>
    <row r="12" spans="1:15" ht="13.5" thickBot="1" x14ac:dyDescent="0.25">
      <c r="A12" s="700" t="s">
        <v>289</v>
      </c>
      <c r="B12" s="701">
        <v>1.808265</v>
      </c>
      <c r="C12" s="727">
        <f t="shared" si="0"/>
        <v>27804.477052051228</v>
      </c>
      <c r="D12" s="728">
        <f t="shared" si="1"/>
        <v>137005.41124519202</v>
      </c>
      <c r="E12" s="727">
        <f t="shared" si="2"/>
        <v>92281.95085583569</v>
      </c>
      <c r="F12" s="728">
        <f t="shared" si="3"/>
        <v>155351.47763925768</v>
      </c>
      <c r="G12" s="727">
        <f t="shared" si="4"/>
        <v>163804.66824985505</v>
      </c>
      <c r="H12" s="727">
        <f t="shared" si="5"/>
        <v>73363.010224276033</v>
      </c>
      <c r="I12" s="729">
        <f t="shared" si="6"/>
        <v>63621.07763655817</v>
      </c>
      <c r="J12" s="728">
        <f t="shared" si="7"/>
        <v>140364.34721914283</v>
      </c>
      <c r="K12" s="727">
        <f t="shared" si="8"/>
        <v>49768.415603076399</v>
      </c>
      <c r="L12" s="728">
        <f t="shared" si="9"/>
        <v>57987.303558354863</v>
      </c>
      <c r="M12" s="727">
        <f t="shared" si="10"/>
        <v>87871.675675867213</v>
      </c>
      <c r="N12" s="727">
        <f t="shared" si="11"/>
        <v>56110.120141347572</v>
      </c>
      <c r="O12" s="730">
        <f t="shared" si="12"/>
        <v>1105333.9351008148</v>
      </c>
    </row>
    <row r="13" spans="1:15" ht="13.5" thickBot="1" x14ac:dyDescent="0.25">
      <c r="A13" s="700" t="s">
        <v>154</v>
      </c>
      <c r="B13" s="701">
        <v>0.54072600000000004</v>
      </c>
      <c r="C13" s="727">
        <f t="shared" si="0"/>
        <v>8314.3807232056442</v>
      </c>
      <c r="D13" s="728">
        <f t="shared" si="1"/>
        <v>40968.767299575957</v>
      </c>
      <c r="E13" s="727">
        <f t="shared" si="2"/>
        <v>27595.098151251397</v>
      </c>
      <c r="F13" s="728">
        <f t="shared" si="3"/>
        <v>46454.796779213917</v>
      </c>
      <c r="G13" s="727">
        <f t="shared" si="4"/>
        <v>48982.556784581429</v>
      </c>
      <c r="H13" s="727">
        <f t="shared" si="5"/>
        <v>21937.761924569615</v>
      </c>
      <c r="I13" s="729">
        <f t="shared" si="6"/>
        <v>19024.629037284663</v>
      </c>
      <c r="J13" s="728">
        <f t="shared" si="7"/>
        <v>41973.190884310774</v>
      </c>
      <c r="K13" s="727">
        <f t="shared" si="8"/>
        <v>14882.263548422985</v>
      </c>
      <c r="L13" s="728">
        <f t="shared" si="9"/>
        <v>17339.959963774665</v>
      </c>
      <c r="M13" s="727">
        <f t="shared" si="10"/>
        <v>26276.292303124257</v>
      </c>
      <c r="N13" s="727">
        <f t="shared" si="11"/>
        <v>16778.625269830645</v>
      </c>
      <c r="O13" s="730">
        <f t="shared" si="12"/>
        <v>330528.32266914594</v>
      </c>
    </row>
    <row r="14" spans="1:15" ht="13.5" thickBot="1" x14ac:dyDescent="0.25">
      <c r="A14" s="700" t="s">
        <v>155</v>
      </c>
      <c r="B14" s="701">
        <v>2.0952820000000001</v>
      </c>
      <c r="C14" s="727">
        <f t="shared" si="0"/>
        <v>32217.744792149384</v>
      </c>
      <c r="D14" s="728">
        <f t="shared" si="1"/>
        <v>158751.60559135329</v>
      </c>
      <c r="E14" s="727">
        <f t="shared" si="2"/>
        <v>106929.41054166127</v>
      </c>
      <c r="F14" s="728">
        <f t="shared" si="3"/>
        <v>180009.65277265175</v>
      </c>
      <c r="G14" s="727">
        <f t="shared" si="4"/>
        <v>189804.57670744765</v>
      </c>
      <c r="H14" s="727">
        <f t="shared" si="5"/>
        <v>85007.559615842547</v>
      </c>
      <c r="I14" s="729">
        <f t="shared" si="6"/>
        <v>73719.338035344859</v>
      </c>
      <c r="J14" s="728">
        <f t="shared" si="7"/>
        <v>162643.68893387861</v>
      </c>
      <c r="K14" s="727">
        <f t="shared" si="8"/>
        <v>57667.911164373094</v>
      </c>
      <c r="L14" s="728">
        <f t="shared" si="9"/>
        <v>67191.342737019673</v>
      </c>
      <c r="M14" s="727">
        <f t="shared" si="10"/>
        <v>101819.11409748152</v>
      </c>
      <c r="N14" s="727">
        <f t="shared" si="11"/>
        <v>65016.203239018076</v>
      </c>
      <c r="O14" s="730">
        <f t="shared" si="12"/>
        <v>1280778.1482282218</v>
      </c>
    </row>
    <row r="15" spans="1:15" ht="13.5" thickBot="1" x14ac:dyDescent="0.25">
      <c r="A15" s="700" t="s">
        <v>156</v>
      </c>
      <c r="B15" s="701">
        <v>1.035509</v>
      </c>
      <c r="C15" s="727">
        <f t="shared" si="0"/>
        <v>15922.326776049151</v>
      </c>
      <c r="D15" s="728">
        <f t="shared" si="1"/>
        <v>78456.606964741091</v>
      </c>
      <c r="E15" s="727">
        <f t="shared" si="2"/>
        <v>52845.567794972289</v>
      </c>
      <c r="F15" s="728">
        <f t="shared" si="3"/>
        <v>88962.543243800043</v>
      </c>
      <c r="G15" s="727">
        <f t="shared" si="4"/>
        <v>93803.291118690671</v>
      </c>
      <c r="H15" s="727">
        <f t="shared" si="5"/>
        <v>42011.573167832066</v>
      </c>
      <c r="I15" s="729">
        <f t="shared" si="6"/>
        <v>36432.822889540366</v>
      </c>
      <c r="J15" s="728">
        <f t="shared" si="7"/>
        <v>80380.112884199698</v>
      </c>
      <c r="K15" s="727">
        <f t="shared" si="8"/>
        <v>28500.049645779814</v>
      </c>
      <c r="L15" s="728">
        <f t="shared" si="9"/>
        <v>33206.623321475825</v>
      </c>
      <c r="M15" s="727">
        <f t="shared" si="10"/>
        <v>50320.008962979206</v>
      </c>
      <c r="N15" s="727">
        <f t="shared" si="11"/>
        <v>32131.647959478665</v>
      </c>
      <c r="O15" s="730">
        <f t="shared" si="12"/>
        <v>632973.17472953885</v>
      </c>
    </row>
    <row r="16" spans="1:15" ht="13.5" thickBot="1" x14ac:dyDescent="0.25">
      <c r="A16" s="700" t="s">
        <v>157</v>
      </c>
      <c r="B16" s="701">
        <v>0.77825100000000003</v>
      </c>
      <c r="C16" s="727">
        <f t="shared" si="0"/>
        <v>11966.64320231599</v>
      </c>
      <c r="D16" s="728">
        <f t="shared" si="1"/>
        <v>58965.13968195035</v>
      </c>
      <c r="E16" s="727">
        <f t="shared" si="2"/>
        <v>39716.811714823314</v>
      </c>
      <c r="F16" s="728">
        <f t="shared" si="3"/>
        <v>66861.020273151298</v>
      </c>
      <c r="G16" s="727">
        <f t="shared" si="4"/>
        <v>70499.15077166121</v>
      </c>
      <c r="H16" s="727">
        <f t="shared" si="5"/>
        <v>31574.374369936399</v>
      </c>
      <c r="I16" s="729">
        <f t="shared" si="6"/>
        <v>27381.588037001784</v>
      </c>
      <c r="J16" s="728">
        <f t="shared" si="7"/>
        <v>60410.776953402914</v>
      </c>
      <c r="K16" s="727">
        <f t="shared" si="8"/>
        <v>21419.603438384202</v>
      </c>
      <c r="L16" s="728">
        <f t="shared" si="9"/>
        <v>24956.893476118395</v>
      </c>
      <c r="M16" s="727">
        <f t="shared" si="10"/>
        <v>37818.693314541473</v>
      </c>
      <c r="N16" s="727">
        <f t="shared" si="11"/>
        <v>24148.980990133579</v>
      </c>
      <c r="O16" s="730">
        <f t="shared" si="12"/>
        <v>475719.67622342095</v>
      </c>
    </row>
    <row r="17" spans="1:16" ht="13.5" thickBot="1" x14ac:dyDescent="0.25">
      <c r="A17" s="700" t="s">
        <v>158</v>
      </c>
      <c r="B17" s="701">
        <v>1.605329</v>
      </c>
      <c r="C17" s="727">
        <f t="shared" si="0"/>
        <v>24684.066407021288</v>
      </c>
      <c r="D17" s="728">
        <f t="shared" si="1"/>
        <v>121629.7167886526</v>
      </c>
      <c r="E17" s="727">
        <f t="shared" si="2"/>
        <v>81925.432326261827</v>
      </c>
      <c r="F17" s="728">
        <f t="shared" si="3"/>
        <v>137916.86077380908</v>
      </c>
      <c r="G17" s="727">
        <f t="shared" si="4"/>
        <v>145421.37589173688</v>
      </c>
      <c r="H17" s="727">
        <f t="shared" si="5"/>
        <v>65129.70601119128</v>
      </c>
      <c r="I17" s="729">
        <f t="shared" si="6"/>
        <v>56481.080450718386</v>
      </c>
      <c r="J17" s="728">
        <f t="shared" si="7"/>
        <v>124611.68974511995</v>
      </c>
      <c r="K17" s="727">
        <f t="shared" si="8"/>
        <v>44183.059923004104</v>
      </c>
      <c r="L17" s="728">
        <f t="shared" si="9"/>
        <v>51479.567449477945</v>
      </c>
      <c r="M17" s="727">
        <f t="shared" si="10"/>
        <v>78010.10871806083</v>
      </c>
      <c r="N17" s="727">
        <f t="shared" si="11"/>
        <v>49813.054533704606</v>
      </c>
      <c r="O17" s="730">
        <f t="shared" si="12"/>
        <v>981285.71901875897</v>
      </c>
    </row>
    <row r="18" spans="1:16" ht="13.5" thickBot="1" x14ac:dyDescent="0.25">
      <c r="A18" s="700" t="s">
        <v>159</v>
      </c>
      <c r="B18" s="701">
        <v>1.2435659999999999</v>
      </c>
      <c r="C18" s="727">
        <f t="shared" si="0"/>
        <v>19121.47960045189</v>
      </c>
      <c r="D18" s="728">
        <f t="shared" si="1"/>
        <v>94220.300254961796</v>
      </c>
      <c r="E18" s="727">
        <f t="shared" si="2"/>
        <v>63463.42847867329</v>
      </c>
      <c r="F18" s="728">
        <f t="shared" si="3"/>
        <v>106837.11493721392</v>
      </c>
      <c r="G18" s="727">
        <f t="shared" si="4"/>
        <v>112650.47771029094</v>
      </c>
      <c r="H18" s="727">
        <f t="shared" si="5"/>
        <v>50452.641162972264</v>
      </c>
      <c r="I18" s="729">
        <f t="shared" si="6"/>
        <v>43752.994739257854</v>
      </c>
      <c r="J18" s="728">
        <f t="shared" si="7"/>
        <v>96530.281686545146</v>
      </c>
      <c r="K18" s="727">
        <f t="shared" si="8"/>
        <v>34226.349300492628</v>
      </c>
      <c r="L18" s="728">
        <f t="shared" si="9"/>
        <v>39878.579266229848</v>
      </c>
      <c r="M18" s="727">
        <f t="shared" si="10"/>
        <v>60430.428191407511</v>
      </c>
      <c r="N18" s="727">
        <f t="shared" si="11"/>
        <v>38587.617226288748</v>
      </c>
      <c r="O18" s="730">
        <f t="shared" si="12"/>
        <v>760151.69255478587</v>
      </c>
    </row>
    <row r="19" spans="1:16" ht="13.5" thickBot="1" x14ac:dyDescent="0.25">
      <c r="A19" s="700" t="s">
        <v>160</v>
      </c>
      <c r="B19" s="701">
        <v>2.3468819999999999</v>
      </c>
      <c r="C19" s="727">
        <f t="shared" si="0"/>
        <v>36086.429097987348</v>
      </c>
      <c r="D19" s="728">
        <f t="shared" si="1"/>
        <v>177814.38757811423</v>
      </c>
      <c r="E19" s="727">
        <f t="shared" si="2"/>
        <v>119769.41952006225</v>
      </c>
      <c r="F19" s="728">
        <f t="shared" si="3"/>
        <v>201625.08622628672</v>
      </c>
      <c r="G19" s="727">
        <f t="shared" si="4"/>
        <v>212596.17779006745</v>
      </c>
      <c r="H19" s="727">
        <f t="shared" si="5"/>
        <v>95215.208037079385</v>
      </c>
      <c r="I19" s="729">
        <f t="shared" si="6"/>
        <v>82571.504688660629</v>
      </c>
      <c r="J19" s="728">
        <f t="shared" si="7"/>
        <v>182173.82957163706</v>
      </c>
      <c r="K19" s="727">
        <f t="shared" si="8"/>
        <v>64592.63368332581</v>
      </c>
      <c r="L19" s="728">
        <f t="shared" si="9"/>
        <v>75259.632271618902</v>
      </c>
      <c r="M19" s="727">
        <f t="shared" si="10"/>
        <v>114045.48224598198</v>
      </c>
      <c r="N19" s="727">
        <f t="shared" si="11"/>
        <v>72823.303540999827</v>
      </c>
      <c r="O19" s="730">
        <f t="shared" si="12"/>
        <v>1434573.0942518213</v>
      </c>
    </row>
    <row r="20" spans="1:16" ht="13.5" thickBot="1" x14ac:dyDescent="0.25">
      <c r="A20" s="700" t="s">
        <v>290</v>
      </c>
      <c r="B20" s="701">
        <v>0.45000699999999999</v>
      </c>
      <c r="C20" s="727">
        <f t="shared" si="0"/>
        <v>6919.4555580970809</v>
      </c>
      <c r="D20" s="728">
        <f t="shared" si="1"/>
        <v>34095.331214293881</v>
      </c>
      <c r="E20" s="727">
        <f t="shared" si="2"/>
        <v>22965.397139679222</v>
      </c>
      <c r="F20" s="728">
        <f t="shared" si="3"/>
        <v>38660.955334538594</v>
      </c>
      <c r="G20" s="727">
        <f t="shared" si="4"/>
        <v>40764.626503920903</v>
      </c>
      <c r="H20" s="727">
        <f t="shared" si="5"/>
        <v>18257.206848551392</v>
      </c>
      <c r="I20" s="729">
        <f t="shared" si="6"/>
        <v>15832.817802697409</v>
      </c>
      <c r="J20" s="728">
        <f t="shared" si="7"/>
        <v>34931.240055547605</v>
      </c>
      <c r="K20" s="727">
        <f t="shared" si="8"/>
        <v>12385.427689134944</v>
      </c>
      <c r="L20" s="728">
        <f t="shared" si="9"/>
        <v>14430.79001826867</v>
      </c>
      <c r="M20" s="727">
        <f t="shared" si="10"/>
        <v>21867.850760740257</v>
      </c>
      <c r="N20" s="727">
        <f t="shared" si="11"/>
        <v>13963.631898226973</v>
      </c>
      <c r="O20" s="730">
        <f t="shared" si="12"/>
        <v>275074.73082369694</v>
      </c>
    </row>
    <row r="21" spans="1:16" ht="13.5" thickBot="1" x14ac:dyDescent="0.25">
      <c r="A21" s="700" t="s">
        <v>291</v>
      </c>
      <c r="B21" s="701">
        <v>1.326967</v>
      </c>
      <c r="C21" s="727">
        <f t="shared" si="0"/>
        <v>20403.880791990814</v>
      </c>
      <c r="D21" s="728">
        <f t="shared" si="1"/>
        <v>100539.27911218695</v>
      </c>
      <c r="E21" s="727">
        <f t="shared" si="2"/>
        <v>67719.666907956373</v>
      </c>
      <c r="F21" s="728">
        <f t="shared" si="3"/>
        <v>114002.25311474416</v>
      </c>
      <c r="G21" s="727">
        <f t="shared" si="4"/>
        <v>120205.49488792043</v>
      </c>
      <c r="H21" s="727">
        <f t="shared" si="5"/>
        <v>53836.298102477725</v>
      </c>
      <c r="I21" s="729">
        <f t="shared" si="6"/>
        <v>46687.333177466069</v>
      </c>
      <c r="J21" s="728">
        <f t="shared" si="7"/>
        <v>103004.18176337224</v>
      </c>
      <c r="K21" s="727">
        <f t="shared" si="8"/>
        <v>36521.773715449606</v>
      </c>
      <c r="L21" s="728">
        <f t="shared" si="9"/>
        <v>42553.076148086417</v>
      </c>
      <c r="M21" s="727">
        <f t="shared" si="10"/>
        <v>64483.255416976222</v>
      </c>
      <c r="N21" s="727">
        <f t="shared" si="11"/>
        <v>41175.53444522986</v>
      </c>
      <c r="O21" s="730">
        <f t="shared" si="12"/>
        <v>811132.02758385683</v>
      </c>
    </row>
    <row r="22" spans="1:16" ht="13.5" thickBot="1" x14ac:dyDescent="0.25">
      <c r="A22" s="700" t="s">
        <v>292</v>
      </c>
      <c r="B22" s="701">
        <v>5.3211430000000002</v>
      </c>
      <c r="C22" s="727">
        <f t="shared" si="0"/>
        <v>81819.64393171524</v>
      </c>
      <c r="D22" s="728">
        <f t="shared" si="1"/>
        <v>403162.91307384422</v>
      </c>
      <c r="E22" s="727">
        <f t="shared" si="2"/>
        <v>271556.13630904438</v>
      </c>
      <c r="F22" s="728">
        <f t="shared" si="3"/>
        <v>457149.49290053867</v>
      </c>
      <c r="G22" s="727">
        <f t="shared" si="4"/>
        <v>482024.51732740417</v>
      </c>
      <c r="H22" s="727">
        <f t="shared" si="5"/>
        <v>215883.77163404413</v>
      </c>
      <c r="I22" s="729">
        <f t="shared" si="6"/>
        <v>187216.39356965269</v>
      </c>
      <c r="J22" s="728">
        <f t="shared" si="7"/>
        <v>413047.18260581902</v>
      </c>
      <c r="K22" s="727">
        <f t="shared" si="8"/>
        <v>146452.45929518115</v>
      </c>
      <c r="L22" s="728">
        <f t="shared" si="9"/>
        <v>170638.00627585838</v>
      </c>
      <c r="M22" s="727">
        <f t="shared" si="10"/>
        <v>258578.11323058908</v>
      </c>
      <c r="N22" s="727">
        <f t="shared" si="11"/>
        <v>165114.05851426127</v>
      </c>
      <c r="O22" s="730">
        <f t="shared" si="12"/>
        <v>3252642.6886679516</v>
      </c>
    </row>
    <row r="23" spans="1:16" ht="13.5" thickBot="1" x14ac:dyDescent="0.25">
      <c r="A23" s="700" t="s">
        <v>164</v>
      </c>
      <c r="B23" s="701">
        <v>1.997271</v>
      </c>
      <c r="C23" s="727">
        <f t="shared" si="0"/>
        <v>30710.695438017887</v>
      </c>
      <c r="D23" s="728">
        <f t="shared" si="1"/>
        <v>151325.68219984125</v>
      </c>
      <c r="E23" s="727">
        <f t="shared" si="2"/>
        <v>101927.57381677233</v>
      </c>
      <c r="F23" s="728">
        <f t="shared" si="3"/>
        <v>171589.34177017078</v>
      </c>
      <c r="G23" s="727">
        <f t="shared" si="4"/>
        <v>180926.08857665013</v>
      </c>
      <c r="H23" s="727">
        <f t="shared" si="5"/>
        <v>81031.161247743003</v>
      </c>
      <c r="I23" s="729">
        <f t="shared" si="6"/>
        <v>70270.968775177404</v>
      </c>
      <c r="J23" s="728">
        <f t="shared" si="7"/>
        <v>155035.7055712103</v>
      </c>
      <c r="K23" s="727">
        <f t="shared" si="8"/>
        <v>54970.379452111272</v>
      </c>
      <c r="L23" s="728">
        <f t="shared" si="9"/>
        <v>64048.33349387339</v>
      </c>
      <c r="M23" s="727">
        <f t="shared" si="10"/>
        <v>97056.321694450206</v>
      </c>
      <c r="N23" s="727">
        <f t="shared" si="11"/>
        <v>61974.940489822795</v>
      </c>
      <c r="O23" s="730">
        <f t="shared" si="12"/>
        <v>1220867.1925258406</v>
      </c>
    </row>
    <row r="24" spans="1:16" ht="13.5" thickBot="1" x14ac:dyDescent="0.25">
      <c r="A24" s="700" t="s">
        <v>165</v>
      </c>
      <c r="B24" s="701">
        <v>35.682884999999999</v>
      </c>
      <c r="C24" s="727">
        <f t="shared" si="0"/>
        <v>548671.76942178444</v>
      </c>
      <c r="D24" s="728">
        <f t="shared" si="1"/>
        <v>2703557.4618985015</v>
      </c>
      <c r="E24" s="727">
        <f t="shared" si="2"/>
        <v>1821019.7288364461</v>
      </c>
      <c r="F24" s="728">
        <f t="shared" si="3"/>
        <v>3065584.364670943</v>
      </c>
      <c r="G24" s="727">
        <f t="shared" si="4"/>
        <v>3232393.0063473713</v>
      </c>
      <c r="H24" s="727">
        <f t="shared" si="5"/>
        <v>1447688.1746241096</v>
      </c>
      <c r="I24" s="729">
        <f t="shared" si="6"/>
        <v>1255448.5083112137</v>
      </c>
      <c r="J24" s="728">
        <f t="shared" si="7"/>
        <v>2769840.0731755262</v>
      </c>
      <c r="K24" s="727">
        <f t="shared" si="8"/>
        <v>982090.92726828228</v>
      </c>
      <c r="L24" s="728">
        <f t="shared" si="9"/>
        <v>1144276.0238863593</v>
      </c>
      <c r="M24" s="727">
        <f t="shared" si="10"/>
        <v>1733990.8132376987</v>
      </c>
      <c r="N24" s="727">
        <f t="shared" si="11"/>
        <v>1107233.1568325933</v>
      </c>
      <c r="O24" s="730">
        <f t="shared" si="12"/>
        <v>21811794.008510832</v>
      </c>
    </row>
    <row r="25" spans="1:16" ht="13.5" thickBot="1" x14ac:dyDescent="0.25">
      <c r="A25" s="700" t="s">
        <v>166</v>
      </c>
      <c r="B25" s="701">
        <v>1.483698</v>
      </c>
      <c r="C25" s="727">
        <f t="shared" si="0"/>
        <v>22813.828168534095</v>
      </c>
      <c r="D25" s="728">
        <f t="shared" si="1"/>
        <v>112414.19518359804</v>
      </c>
      <c r="E25" s="727">
        <f t="shared" si="2"/>
        <v>75718.186173432376</v>
      </c>
      <c r="F25" s="728">
        <f t="shared" si="3"/>
        <v>127467.31074837556</v>
      </c>
      <c r="G25" s="727">
        <f t="shared" si="4"/>
        <v>134403.23109332618</v>
      </c>
      <c r="H25" s="727">
        <f t="shared" si="5"/>
        <v>60195.022048061481</v>
      </c>
      <c r="I25" s="729">
        <f t="shared" si="6"/>
        <v>52201.677103304042</v>
      </c>
      <c r="J25" s="728">
        <f t="shared" si="7"/>
        <v>115170.23292512313</v>
      </c>
      <c r="K25" s="727">
        <f t="shared" si="8"/>
        <v>40835.440985393863</v>
      </c>
      <c r="L25" s="728">
        <f t="shared" si="9"/>
        <v>47579.11385495156</v>
      </c>
      <c r="M25" s="727">
        <f t="shared" si="10"/>
        <v>72099.514980897628</v>
      </c>
      <c r="N25" s="727">
        <f t="shared" si="11"/>
        <v>46038.867662359837</v>
      </c>
      <c r="O25" s="730">
        <f t="shared" si="12"/>
        <v>906936.62092735781</v>
      </c>
    </row>
    <row r="26" spans="1:16" ht="13.5" thickBot="1" x14ac:dyDescent="0.25">
      <c r="A26" s="700" t="s">
        <v>167</v>
      </c>
      <c r="B26" s="701">
        <v>5.1813390000000004</v>
      </c>
      <c r="C26" s="727">
        <f t="shared" si="0"/>
        <v>79669.971671407722</v>
      </c>
      <c r="D26" s="728">
        <f t="shared" si="1"/>
        <v>392570.49187798914</v>
      </c>
      <c r="E26" s="727">
        <f t="shared" si="2"/>
        <v>264421.45977797767</v>
      </c>
      <c r="F26" s="728">
        <f t="shared" si="3"/>
        <v>445138.66595875815</v>
      </c>
      <c r="G26" s="727">
        <f t="shared" si="4"/>
        <v>469360.14134268806</v>
      </c>
      <c r="H26" s="727">
        <f t="shared" si="5"/>
        <v>210211.79198427231</v>
      </c>
      <c r="I26" s="729">
        <f t="shared" si="6"/>
        <v>182297.60061734685</v>
      </c>
      <c r="J26" s="728">
        <f t="shared" si="7"/>
        <v>402195.06900597329</v>
      </c>
      <c r="K26" s="727">
        <f t="shared" si="8"/>
        <v>142604.66952157358</v>
      </c>
      <c r="L26" s="728">
        <f t="shared" si="9"/>
        <v>166154.78230886671</v>
      </c>
      <c r="M26" s="727">
        <f t="shared" si="10"/>
        <v>251784.41222648352</v>
      </c>
      <c r="N26" s="727">
        <f t="shared" si="11"/>
        <v>160775.96689813148</v>
      </c>
      <c r="O26" s="730">
        <f t="shared" si="12"/>
        <v>3167185.0231914688</v>
      </c>
    </row>
    <row r="27" spans="1:16" ht="13.5" thickBot="1" x14ac:dyDescent="0.25">
      <c r="A27" s="705" t="s">
        <v>293</v>
      </c>
      <c r="B27" s="721">
        <f t="shared" ref="B27:N27" si="13">SUM(B7:B26)</f>
        <v>99.999999999999986</v>
      </c>
      <c r="C27" s="735">
        <f t="shared" si="13"/>
        <v>1537632.8719546765</v>
      </c>
      <c r="D27" s="735">
        <f t="shared" si="13"/>
        <v>7576622.4112722427</v>
      </c>
      <c r="E27" s="735">
        <f t="shared" si="13"/>
        <v>5103342.201272252</v>
      </c>
      <c r="F27" s="735">
        <f t="shared" si="13"/>
        <v>8591189.7669455353</v>
      </c>
      <c r="G27" s="735">
        <f t="shared" si="13"/>
        <v>9058664.9771938901</v>
      </c>
      <c r="H27" s="735">
        <f t="shared" si="13"/>
        <v>4057093.9671052648</v>
      </c>
      <c r="I27" s="735">
        <f t="shared" si="13"/>
        <v>3518349.2262781267</v>
      </c>
      <c r="J27" s="735">
        <f t="shared" si="13"/>
        <v>7762377.0420343718</v>
      </c>
      <c r="K27" s="735">
        <f t="shared" si="13"/>
        <v>2752274.4510940812</v>
      </c>
      <c r="L27" s="735">
        <f t="shared" si="13"/>
        <v>3206792.3428454828</v>
      </c>
      <c r="M27" s="735">
        <f t="shared" si="13"/>
        <v>4859446.7998809479</v>
      </c>
      <c r="N27" s="735">
        <f t="shared" si="13"/>
        <v>3102981.0421231166</v>
      </c>
      <c r="O27" s="735">
        <f t="shared" si="12"/>
        <v>61126767.099999987</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t="s">
        <v>170</v>
      </c>
      <c r="C29" s="704">
        <v>37628267.388506688</v>
      </c>
      <c r="D29" s="704">
        <v>51757900.301817484</v>
      </c>
      <c r="E29" s="704">
        <v>41865560.85896036</v>
      </c>
      <c r="F29" s="704">
        <v>50428929.238493621</v>
      </c>
      <c r="G29" s="704">
        <v>45213476.96741984</v>
      </c>
      <c r="H29" s="704">
        <v>40362062.524436101</v>
      </c>
      <c r="I29" s="704">
        <v>43692336.180397332</v>
      </c>
      <c r="J29" s="704">
        <v>44341481.060049102</v>
      </c>
      <c r="K29" s="704">
        <v>41020424.644420117</v>
      </c>
      <c r="L29" s="704">
        <v>41583359.918350689</v>
      </c>
      <c r="M29" s="704">
        <v>40183769.856972784</v>
      </c>
      <c r="N29" s="704">
        <v>41719928.060175888</v>
      </c>
      <c r="O29" s="704">
        <f>SUM(C29:N29)</f>
        <v>519797497</v>
      </c>
    </row>
    <row r="30" spans="1:16" x14ac:dyDescent="0.2">
      <c r="A30" s="695" t="s">
        <v>421</v>
      </c>
      <c r="C30" s="704">
        <f>'F.F.M.ESTIIMACIONES 2014'!C27</f>
        <v>35431649.000000007</v>
      </c>
      <c r="D30" s="704">
        <f>'F.F.M.ESTIIMACIONES 2014'!D27</f>
        <v>40934153.999999993</v>
      </c>
      <c r="E30" s="704">
        <f>'F.F.M.ESTIIMACIONES 2014'!E27</f>
        <v>34575072</v>
      </c>
      <c r="F30" s="704">
        <f>'F.F.M.ESTIIMACIONES 2014'!F27</f>
        <v>38155801</v>
      </c>
      <c r="G30" s="704">
        <f>'F.F.M.ESTIIMACIONES 2014'!G27</f>
        <v>32272527</v>
      </c>
      <c r="H30" s="704">
        <f>'F.F.M.ESTIIMACIONES 2014'!H27</f>
        <v>34566214.000000007</v>
      </c>
      <c r="I30" s="704">
        <f>'F.F.M.ESTIIMACIONES 2014'!I27</f>
        <v>38666123.000000007</v>
      </c>
      <c r="J30" s="704">
        <f>'F.F.M.ESTIIMACIONES 2014'!J27</f>
        <v>33252371</v>
      </c>
      <c r="K30" s="704">
        <f>'F.F.M.ESTIIMACIONES 2014'!K27</f>
        <v>37088604</v>
      </c>
      <c r="L30" s="704">
        <f>'F.F.M.ESTIIMACIONES 2014'!L27</f>
        <v>37002228</v>
      </c>
      <c r="M30" s="704">
        <f>'F.F.M.ESTIIMACIONES 2014'!M27</f>
        <v>33241703</v>
      </c>
      <c r="N30" s="704">
        <f>'F.F.M.ESTIIMACIONES 2014'!N27</f>
        <v>37287098.000000007</v>
      </c>
      <c r="O30" s="704">
        <f>SUM(C30:N30)</f>
        <v>432473544</v>
      </c>
    </row>
    <row r="31" spans="1:16" x14ac:dyDescent="0.2">
      <c r="A31" s="695" t="s">
        <v>409</v>
      </c>
      <c r="C31" s="704">
        <f>C29-C30</f>
        <v>2196618.3885066807</v>
      </c>
      <c r="D31" s="704">
        <f t="shared" ref="D31:O31" si="14">D29-D30</f>
        <v>10823746.301817492</v>
      </c>
      <c r="E31" s="704">
        <f t="shared" si="14"/>
        <v>7290488.8589603603</v>
      </c>
      <c r="F31" s="704">
        <f t="shared" si="14"/>
        <v>12273128.238493621</v>
      </c>
      <c r="G31" s="704">
        <f t="shared" si="14"/>
        <v>12940949.96741984</v>
      </c>
      <c r="H31" s="704">
        <f t="shared" si="14"/>
        <v>5795848.5244360939</v>
      </c>
      <c r="I31" s="704">
        <f t="shared" si="14"/>
        <v>5026213.1803973243</v>
      </c>
      <c r="J31" s="704">
        <f t="shared" si="14"/>
        <v>11089110.060049102</v>
      </c>
      <c r="K31" s="704">
        <f t="shared" si="14"/>
        <v>3931820.6444201171</v>
      </c>
      <c r="L31" s="704">
        <f t="shared" si="14"/>
        <v>4581131.9183506891</v>
      </c>
      <c r="M31" s="704">
        <f t="shared" si="14"/>
        <v>6942066.8569727838</v>
      </c>
      <c r="N31" s="704">
        <f t="shared" si="14"/>
        <v>4432830.0601758808</v>
      </c>
      <c r="O31" s="704">
        <f t="shared" si="14"/>
        <v>87323953</v>
      </c>
    </row>
    <row r="32" spans="1:16" x14ac:dyDescent="0.2">
      <c r="A32" s="746">
        <v>0.7</v>
      </c>
      <c r="B32" s="746"/>
      <c r="C32" s="704">
        <f>C31*0.7</f>
        <v>1537632.8719546765</v>
      </c>
      <c r="D32" s="704">
        <f t="shared" ref="D32:O32" si="15">D31*0.7</f>
        <v>7576622.4112722436</v>
      </c>
      <c r="E32" s="704">
        <f t="shared" si="15"/>
        <v>5103342.201272252</v>
      </c>
      <c r="F32" s="704">
        <f t="shared" si="15"/>
        <v>8591189.7669455353</v>
      </c>
      <c r="G32" s="704">
        <f t="shared" si="15"/>
        <v>9058664.9771938883</v>
      </c>
      <c r="H32" s="704">
        <f t="shared" si="15"/>
        <v>4057093.9671052652</v>
      </c>
      <c r="I32" s="704">
        <f t="shared" si="15"/>
        <v>3518349.2262781267</v>
      </c>
      <c r="J32" s="704">
        <f t="shared" si="15"/>
        <v>7762377.0420343708</v>
      </c>
      <c r="K32" s="704">
        <f t="shared" si="15"/>
        <v>2752274.4510940816</v>
      </c>
      <c r="L32" s="704">
        <f t="shared" si="15"/>
        <v>3206792.3428454823</v>
      </c>
      <c r="M32" s="704">
        <f t="shared" si="15"/>
        <v>4859446.7998809479</v>
      </c>
      <c r="N32" s="704">
        <f t="shared" si="15"/>
        <v>3102981.0421231166</v>
      </c>
      <c r="O32" s="704">
        <f t="shared" si="15"/>
        <v>61126767.099999994</v>
      </c>
    </row>
    <row r="33" spans="1:15" x14ac:dyDescent="0.2">
      <c r="A33" s="746">
        <v>0.3</v>
      </c>
      <c r="B33" s="746"/>
      <c r="C33" s="704">
        <f>C31*0.3</f>
        <v>658985.51655200415</v>
      </c>
      <c r="D33" s="704">
        <f t="shared" ref="D33:O33" si="16">D31*0.3</f>
        <v>3247123.8905452476</v>
      </c>
      <c r="E33" s="704">
        <f t="shared" si="16"/>
        <v>2187146.6576881078</v>
      </c>
      <c r="F33" s="704">
        <f t="shared" si="16"/>
        <v>3681938.4715480865</v>
      </c>
      <c r="G33" s="704">
        <f t="shared" si="16"/>
        <v>3882284.9902259521</v>
      </c>
      <c r="H33" s="704">
        <f t="shared" si="16"/>
        <v>1738754.5573308282</v>
      </c>
      <c r="I33" s="704">
        <f t="shared" si="16"/>
        <v>1507863.9541191973</v>
      </c>
      <c r="J33" s="704">
        <f t="shared" si="16"/>
        <v>3326733.0180147304</v>
      </c>
      <c r="K33" s="704">
        <f t="shared" si="16"/>
        <v>1179546.193326035</v>
      </c>
      <c r="L33" s="704">
        <f t="shared" si="16"/>
        <v>1374339.5755052066</v>
      </c>
      <c r="M33" s="704">
        <f t="shared" si="16"/>
        <v>2082620.057091835</v>
      </c>
      <c r="N33" s="704">
        <f t="shared" si="16"/>
        <v>1329849.0180527642</v>
      </c>
      <c r="O33" s="704">
        <f t="shared" si="16"/>
        <v>26197185.899999999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activeCell="G41" sqref="G41"/>
    </sheetView>
  </sheetViews>
  <sheetFormatPr baseColWidth="10" defaultRowHeight="12.75" x14ac:dyDescent="0.2"/>
  <cols>
    <col min="1" max="1" width="16" style="695" customWidth="1"/>
    <col min="2" max="2" width="9.28515625" style="695" bestFit="1" customWidth="1"/>
    <col min="3" max="12" width="10.85546875" style="695" bestFit="1" customWidth="1"/>
    <col min="13" max="13" width="11.7109375" style="695" bestFit="1" customWidth="1"/>
    <col min="14" max="14" width="10.85546875" style="695" bestFit="1" customWidth="1"/>
    <col min="15" max="16" width="13.7109375" style="695" bestFit="1" customWidth="1"/>
    <col min="17"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420</v>
      </c>
      <c r="B4" s="958"/>
      <c r="C4" s="958"/>
      <c r="D4" s="958"/>
      <c r="E4" s="958"/>
      <c r="F4" s="958"/>
      <c r="G4" s="958"/>
      <c r="H4" s="958"/>
      <c r="I4" s="958"/>
      <c r="J4" s="958"/>
      <c r="K4" s="958"/>
      <c r="L4" s="958"/>
      <c r="M4" s="958"/>
      <c r="N4" s="958"/>
      <c r="O4" s="958"/>
    </row>
    <row r="5" spans="1:15" ht="13.5" thickBot="1" x14ac:dyDescent="0.25"/>
    <row r="6" spans="1:15" ht="23.25" thickBot="1" x14ac:dyDescent="0.25">
      <c r="A6" s="696" t="s">
        <v>404</v>
      </c>
      <c r="B6" s="697" t="s">
        <v>286</v>
      </c>
      <c r="C6" s="696" t="s">
        <v>1</v>
      </c>
      <c r="D6" s="698" t="s">
        <v>2</v>
      </c>
      <c r="E6" s="696" t="s">
        <v>3</v>
      </c>
      <c r="F6" s="698" t="s">
        <v>4</v>
      </c>
      <c r="G6" s="696" t="s">
        <v>5</v>
      </c>
      <c r="H6" s="696" t="s">
        <v>6</v>
      </c>
      <c r="I6" s="696" t="s">
        <v>7</v>
      </c>
      <c r="J6" s="698" t="s">
        <v>8</v>
      </c>
      <c r="K6" s="696" t="s">
        <v>9</v>
      </c>
      <c r="L6" s="698" t="s">
        <v>10</v>
      </c>
      <c r="M6" s="696" t="s">
        <v>11</v>
      </c>
      <c r="N6" s="696" t="s">
        <v>12</v>
      </c>
      <c r="O6" s="699" t="s">
        <v>170</v>
      </c>
    </row>
    <row r="7" spans="1:15" x14ac:dyDescent="0.2">
      <c r="A7" s="700" t="s">
        <v>287</v>
      </c>
      <c r="B7" s="720">
        <v>3.6200000000000003E-2</v>
      </c>
      <c r="C7" s="727">
        <v>1282625.6938</v>
      </c>
      <c r="D7" s="728">
        <v>1481816.3748000001</v>
      </c>
      <c r="E7" s="727">
        <v>1251617.6064000002</v>
      </c>
      <c r="F7" s="728">
        <v>1381239.9962000002</v>
      </c>
      <c r="G7" s="727">
        <v>1168265.4774000002</v>
      </c>
      <c r="H7" s="727">
        <v>1251296.9468</v>
      </c>
      <c r="I7" s="729">
        <v>1399713.6526000001</v>
      </c>
      <c r="J7" s="728">
        <v>1203735.8302000002</v>
      </c>
      <c r="K7" s="727">
        <v>1342607.4648000002</v>
      </c>
      <c r="L7" s="728">
        <v>1339480.6536000001</v>
      </c>
      <c r="M7" s="727">
        <v>1203349.6486000002</v>
      </c>
      <c r="N7" s="727">
        <v>1349792.9476000001</v>
      </c>
      <c r="O7" s="730">
        <f t="shared" ref="O7:O27" si="0">SUM(C7:N7)</f>
        <v>15655542.2928</v>
      </c>
    </row>
    <row r="8" spans="1:15" x14ac:dyDescent="0.2">
      <c r="A8" s="700" t="s">
        <v>149</v>
      </c>
      <c r="B8" s="720">
        <v>2.47E-2</v>
      </c>
      <c r="C8" s="727">
        <v>875161.73029999994</v>
      </c>
      <c r="D8" s="728">
        <v>1011073.6038</v>
      </c>
      <c r="E8" s="727">
        <v>854004.27839999995</v>
      </c>
      <c r="F8" s="728">
        <v>942448.28469999996</v>
      </c>
      <c r="G8" s="727">
        <v>797131.41689999995</v>
      </c>
      <c r="H8" s="727">
        <v>853785.48580000002</v>
      </c>
      <c r="I8" s="727">
        <v>955053.23809999996</v>
      </c>
      <c r="J8" s="728">
        <v>821333.56369999994</v>
      </c>
      <c r="K8" s="727">
        <v>916088.51879999996</v>
      </c>
      <c r="L8" s="728">
        <v>913955.03159999999</v>
      </c>
      <c r="M8" s="727">
        <v>821070.06409999996</v>
      </c>
      <c r="N8" s="727">
        <v>920991.32059999998</v>
      </c>
      <c r="O8" s="730">
        <f t="shared" si="0"/>
        <v>10682096.536799997</v>
      </c>
    </row>
    <row r="9" spans="1:15" x14ac:dyDescent="0.2">
      <c r="A9" s="700" t="s">
        <v>150</v>
      </c>
      <c r="B9" s="720">
        <v>2.3300000000000001E-2</v>
      </c>
      <c r="C9" s="727">
        <v>825557.42170000006</v>
      </c>
      <c r="D9" s="728">
        <v>953765.78820000007</v>
      </c>
      <c r="E9" s="727">
        <v>805599.17760000005</v>
      </c>
      <c r="F9" s="728">
        <v>889030.16330000001</v>
      </c>
      <c r="G9" s="727">
        <v>751949.87910000002</v>
      </c>
      <c r="H9" s="727">
        <v>805392.78620000009</v>
      </c>
      <c r="I9" s="727">
        <v>900920.66590000002</v>
      </c>
      <c r="J9" s="728">
        <v>774780.24430000002</v>
      </c>
      <c r="K9" s="727">
        <v>864164.47320000001</v>
      </c>
      <c r="L9" s="728">
        <v>862151.91240000003</v>
      </c>
      <c r="M9" s="727">
        <v>774531.67989999999</v>
      </c>
      <c r="N9" s="727">
        <v>868789.38340000005</v>
      </c>
      <c r="O9" s="730">
        <f t="shared" si="0"/>
        <v>10076633.575200001</v>
      </c>
    </row>
    <row r="10" spans="1:15" x14ac:dyDescent="0.2">
      <c r="A10" s="700" t="s">
        <v>288</v>
      </c>
      <c r="B10" s="720">
        <v>2.81E-2</v>
      </c>
      <c r="C10" s="727">
        <v>995629.33689999999</v>
      </c>
      <c r="D10" s="728">
        <v>1150249.7274</v>
      </c>
      <c r="E10" s="727">
        <v>971559.52320000005</v>
      </c>
      <c r="F10" s="728">
        <v>1072178.0081</v>
      </c>
      <c r="G10" s="727">
        <v>906858.00870000001</v>
      </c>
      <c r="H10" s="727">
        <v>971310.61340000003</v>
      </c>
      <c r="I10" s="727">
        <v>1086518.0563000001</v>
      </c>
      <c r="J10" s="728">
        <v>934391.62509999995</v>
      </c>
      <c r="K10" s="727">
        <v>1042189.7724</v>
      </c>
      <c r="L10" s="728">
        <v>1039762.6068</v>
      </c>
      <c r="M10" s="727">
        <v>934091.85430000001</v>
      </c>
      <c r="N10" s="727">
        <v>1047767.4538</v>
      </c>
      <c r="O10" s="730">
        <f t="shared" si="0"/>
        <v>12152506.586399999</v>
      </c>
    </row>
    <row r="11" spans="1:15" x14ac:dyDescent="0.2">
      <c r="A11" s="700" t="s">
        <v>152</v>
      </c>
      <c r="B11" s="720">
        <v>4.6399999999999997E-2</v>
      </c>
      <c r="C11" s="727">
        <v>1644028.5135999999</v>
      </c>
      <c r="D11" s="728">
        <v>1899344.7455999998</v>
      </c>
      <c r="E11" s="727">
        <v>1604283.3407999999</v>
      </c>
      <c r="F11" s="728">
        <v>1770429.1664</v>
      </c>
      <c r="G11" s="727">
        <v>1497445.2527999999</v>
      </c>
      <c r="H11" s="727">
        <v>1603872.3295999998</v>
      </c>
      <c r="I11" s="727">
        <v>1794108.1072</v>
      </c>
      <c r="J11" s="728">
        <v>1542910.0144</v>
      </c>
      <c r="K11" s="727">
        <v>1720911.2255999998</v>
      </c>
      <c r="L11" s="728">
        <v>1716903.3791999999</v>
      </c>
      <c r="M11" s="727">
        <v>1542415.0192</v>
      </c>
      <c r="N11" s="727">
        <v>1730121.3472</v>
      </c>
      <c r="O11" s="730">
        <f t="shared" si="0"/>
        <v>20066772.441599999</v>
      </c>
    </row>
    <row r="12" spans="1:15" x14ac:dyDescent="0.2">
      <c r="A12" s="700" t="s">
        <v>289</v>
      </c>
      <c r="B12" s="720">
        <v>1.4999999999999999E-2</v>
      </c>
      <c r="C12" s="727">
        <v>531474.73499999999</v>
      </c>
      <c r="D12" s="728">
        <v>614012.30999999994</v>
      </c>
      <c r="E12" s="727">
        <v>518626.07999999996</v>
      </c>
      <c r="F12" s="728">
        <v>572337.01500000001</v>
      </c>
      <c r="G12" s="727">
        <v>484087.90499999997</v>
      </c>
      <c r="H12" s="727">
        <v>518493.20999999996</v>
      </c>
      <c r="I12" s="727">
        <v>579991.84499999997</v>
      </c>
      <c r="J12" s="728">
        <v>498785.565</v>
      </c>
      <c r="K12" s="727">
        <v>556329.05999999994</v>
      </c>
      <c r="L12" s="728">
        <v>555033.41999999993</v>
      </c>
      <c r="M12" s="727">
        <v>498625.54499999998</v>
      </c>
      <c r="N12" s="727">
        <v>559306.47</v>
      </c>
      <c r="O12" s="730">
        <f t="shared" si="0"/>
        <v>6487103.1599999992</v>
      </c>
    </row>
    <row r="13" spans="1:15" x14ac:dyDescent="0.2">
      <c r="A13" s="700" t="s">
        <v>154</v>
      </c>
      <c r="B13" s="720">
        <v>1.5299999999999999E-2</v>
      </c>
      <c r="C13" s="727">
        <v>542104.22970000003</v>
      </c>
      <c r="D13" s="728">
        <v>626292.55619999999</v>
      </c>
      <c r="E13" s="727">
        <v>528998.60159999994</v>
      </c>
      <c r="F13" s="728">
        <v>583783.75529999996</v>
      </c>
      <c r="G13" s="727">
        <v>493769.66310000001</v>
      </c>
      <c r="H13" s="727">
        <v>528863.07420000003</v>
      </c>
      <c r="I13" s="727">
        <v>591591.68189999997</v>
      </c>
      <c r="J13" s="728">
        <v>508761.27629999997</v>
      </c>
      <c r="K13" s="727">
        <v>567455.64119999995</v>
      </c>
      <c r="L13" s="728">
        <v>566134.08840000001</v>
      </c>
      <c r="M13" s="727">
        <v>508598.05589999998</v>
      </c>
      <c r="N13" s="727">
        <v>570492.59939999995</v>
      </c>
      <c r="O13" s="730">
        <f t="shared" si="0"/>
        <v>6616845.223199999</v>
      </c>
    </row>
    <row r="14" spans="1:15" x14ac:dyDescent="0.2">
      <c r="A14" s="700" t="s">
        <v>155</v>
      </c>
      <c r="B14" s="720">
        <v>3.1600000000000003E-2</v>
      </c>
      <c r="C14" s="727">
        <v>1119640.1084</v>
      </c>
      <c r="D14" s="728">
        <v>1293519.2664000001</v>
      </c>
      <c r="E14" s="727">
        <v>1092572.2752</v>
      </c>
      <c r="F14" s="728">
        <v>1205723.3116000001</v>
      </c>
      <c r="G14" s="727">
        <v>1019811.8532000001</v>
      </c>
      <c r="H14" s="727">
        <v>1092292.3624000002</v>
      </c>
      <c r="I14" s="727">
        <v>1221849.4868000001</v>
      </c>
      <c r="J14" s="728">
        <v>1050774.9236000001</v>
      </c>
      <c r="K14" s="727">
        <v>1171999.8864000002</v>
      </c>
      <c r="L14" s="728">
        <v>1169270.4048000001</v>
      </c>
      <c r="M14" s="727">
        <v>1050437.8148000001</v>
      </c>
      <c r="N14" s="727">
        <v>1178272.2968000001</v>
      </c>
      <c r="O14" s="730">
        <f t="shared" si="0"/>
        <v>13666163.9904</v>
      </c>
    </row>
    <row r="15" spans="1:15" x14ac:dyDescent="0.2">
      <c r="A15" s="700" t="s">
        <v>156</v>
      </c>
      <c r="B15" s="720">
        <v>2.81E-2</v>
      </c>
      <c r="C15" s="727">
        <v>995629.33689999999</v>
      </c>
      <c r="D15" s="728">
        <v>1150249.7274</v>
      </c>
      <c r="E15" s="727">
        <v>971559.52320000005</v>
      </c>
      <c r="F15" s="728">
        <v>1072178.0081</v>
      </c>
      <c r="G15" s="727">
        <v>906858.00870000001</v>
      </c>
      <c r="H15" s="727">
        <v>971310.61340000003</v>
      </c>
      <c r="I15" s="727">
        <v>1086518.0563000001</v>
      </c>
      <c r="J15" s="728">
        <v>934391.62509999995</v>
      </c>
      <c r="K15" s="727">
        <v>1042189.7724</v>
      </c>
      <c r="L15" s="728">
        <v>1039762.6068</v>
      </c>
      <c r="M15" s="727">
        <v>934091.85430000001</v>
      </c>
      <c r="N15" s="727">
        <v>1047767.4538</v>
      </c>
      <c r="O15" s="730">
        <f t="shared" si="0"/>
        <v>12152506.586399999</v>
      </c>
    </row>
    <row r="16" spans="1:15" x14ac:dyDescent="0.2">
      <c r="A16" s="700" t="s">
        <v>157</v>
      </c>
      <c r="B16" s="720">
        <v>1.6E-2</v>
      </c>
      <c r="C16" s="727">
        <v>566906.38399999996</v>
      </c>
      <c r="D16" s="728">
        <v>654946.46400000004</v>
      </c>
      <c r="E16" s="727">
        <v>553201.152</v>
      </c>
      <c r="F16" s="728">
        <v>610492.81599999999</v>
      </c>
      <c r="G16" s="727">
        <v>516360.43200000003</v>
      </c>
      <c r="H16" s="727">
        <v>553059.424</v>
      </c>
      <c r="I16" s="727">
        <v>618657.96799999999</v>
      </c>
      <c r="J16" s="728">
        <v>532037.93599999999</v>
      </c>
      <c r="K16" s="727">
        <v>593417.66399999999</v>
      </c>
      <c r="L16" s="728">
        <v>592035.64800000004</v>
      </c>
      <c r="M16" s="727">
        <v>531867.24800000002</v>
      </c>
      <c r="N16" s="727">
        <v>596593.56799999997</v>
      </c>
      <c r="O16" s="730">
        <f t="shared" si="0"/>
        <v>6919576.7039999999</v>
      </c>
    </row>
    <row r="17" spans="1:16" x14ac:dyDescent="0.2">
      <c r="A17" s="700" t="s">
        <v>158</v>
      </c>
      <c r="B17" s="720">
        <v>2.8400000000000002E-2</v>
      </c>
      <c r="C17" s="727">
        <v>1006258.8316</v>
      </c>
      <c r="D17" s="728">
        <v>1162529.9736000001</v>
      </c>
      <c r="E17" s="727">
        <v>981932.04480000003</v>
      </c>
      <c r="F17" s="728">
        <v>1083624.7484000002</v>
      </c>
      <c r="G17" s="727">
        <v>916539.7668000001</v>
      </c>
      <c r="H17" s="727">
        <v>981680.4776000001</v>
      </c>
      <c r="I17" s="727">
        <v>1098117.8932</v>
      </c>
      <c r="J17" s="728">
        <v>944367.33640000003</v>
      </c>
      <c r="K17" s="727">
        <v>1053316.3536</v>
      </c>
      <c r="L17" s="728">
        <v>1050863.2752</v>
      </c>
      <c r="M17" s="727">
        <v>944064.3652</v>
      </c>
      <c r="N17" s="727">
        <v>1058953.5832</v>
      </c>
      <c r="O17" s="730">
        <f t="shared" si="0"/>
        <v>12282248.649600001</v>
      </c>
    </row>
    <row r="18" spans="1:16" x14ac:dyDescent="0.2">
      <c r="A18" s="700" t="s">
        <v>159</v>
      </c>
      <c r="B18" s="720">
        <v>3.3300000000000003E-2</v>
      </c>
      <c r="C18" s="727">
        <v>1179873.9117000001</v>
      </c>
      <c r="D18" s="728">
        <v>1363107.3282000001</v>
      </c>
      <c r="E18" s="727">
        <v>1151349.8976</v>
      </c>
      <c r="F18" s="728">
        <v>1270588.1733000001</v>
      </c>
      <c r="G18" s="727">
        <v>1074675.1491</v>
      </c>
      <c r="H18" s="727">
        <v>1151054.9262000001</v>
      </c>
      <c r="I18" s="727">
        <v>1287581.8959000001</v>
      </c>
      <c r="J18" s="728">
        <v>1107303.9543000001</v>
      </c>
      <c r="K18" s="727">
        <v>1235050.5132000002</v>
      </c>
      <c r="L18" s="728">
        <v>1232174.1924000001</v>
      </c>
      <c r="M18" s="727">
        <v>1106948.7099000001</v>
      </c>
      <c r="N18" s="727">
        <v>1241660.3634000001</v>
      </c>
      <c r="O18" s="730">
        <f t="shared" si="0"/>
        <v>14401369.0152</v>
      </c>
    </row>
    <row r="19" spans="1:16" x14ac:dyDescent="0.2">
      <c r="A19" s="700" t="s">
        <v>160</v>
      </c>
      <c r="B19" s="720">
        <v>4.6899999999999997E-2</v>
      </c>
      <c r="C19" s="727">
        <v>1661744.3380999998</v>
      </c>
      <c r="D19" s="728">
        <v>1919811.8225999998</v>
      </c>
      <c r="E19" s="727">
        <v>1621570.8768</v>
      </c>
      <c r="F19" s="728">
        <v>1789507.0669</v>
      </c>
      <c r="G19" s="727">
        <v>1513581.5163</v>
      </c>
      <c r="H19" s="727">
        <v>1621155.4365999999</v>
      </c>
      <c r="I19" s="727">
        <v>1813441.1686999998</v>
      </c>
      <c r="J19" s="728">
        <v>1559536.1998999999</v>
      </c>
      <c r="K19" s="727">
        <v>1739455.5275999999</v>
      </c>
      <c r="L19" s="728">
        <v>1735404.4931999999</v>
      </c>
      <c r="M19" s="727">
        <v>1559035.8706999999</v>
      </c>
      <c r="N19" s="727">
        <v>1748764.8961999998</v>
      </c>
      <c r="O19" s="730">
        <f t="shared" si="0"/>
        <v>20283009.213600002</v>
      </c>
    </row>
    <row r="20" spans="1:16" x14ac:dyDescent="0.2">
      <c r="A20" s="700" t="s">
        <v>290</v>
      </c>
      <c r="B20" s="720">
        <v>2.1299999999999999E-2</v>
      </c>
      <c r="C20" s="727">
        <v>754694.1237</v>
      </c>
      <c r="D20" s="728">
        <v>871897.48019999999</v>
      </c>
      <c r="E20" s="727">
        <v>736449.03359999997</v>
      </c>
      <c r="F20" s="728">
        <v>812718.56129999994</v>
      </c>
      <c r="G20" s="727">
        <v>687404.82510000002</v>
      </c>
      <c r="H20" s="727">
        <v>736260.35820000002</v>
      </c>
      <c r="I20" s="727">
        <v>823588.41989999998</v>
      </c>
      <c r="J20" s="728">
        <v>708275.50229999993</v>
      </c>
      <c r="K20" s="727">
        <v>789987.26520000002</v>
      </c>
      <c r="L20" s="728">
        <v>788147.45640000002</v>
      </c>
      <c r="M20" s="727">
        <v>708048.27390000003</v>
      </c>
      <c r="N20" s="727">
        <v>794215.18739999994</v>
      </c>
      <c r="O20" s="730">
        <f t="shared" si="0"/>
        <v>9211686.4872000013</v>
      </c>
    </row>
    <row r="21" spans="1:16" x14ac:dyDescent="0.2">
      <c r="A21" s="700" t="s">
        <v>291</v>
      </c>
      <c r="B21" s="720">
        <v>2.81E-2</v>
      </c>
      <c r="C21" s="727">
        <v>995629.33689999999</v>
      </c>
      <c r="D21" s="728">
        <v>1150249.7274</v>
      </c>
      <c r="E21" s="727">
        <v>971559.52320000005</v>
      </c>
      <c r="F21" s="728">
        <v>1072178.0081</v>
      </c>
      <c r="G21" s="727">
        <v>906858.00870000001</v>
      </c>
      <c r="H21" s="727">
        <v>971310.61340000003</v>
      </c>
      <c r="I21" s="727">
        <v>1086518.0563000001</v>
      </c>
      <c r="J21" s="728">
        <v>934391.62509999995</v>
      </c>
      <c r="K21" s="727">
        <v>1042189.7724</v>
      </c>
      <c r="L21" s="728">
        <v>1039762.6068</v>
      </c>
      <c r="M21" s="727">
        <v>934091.85430000001</v>
      </c>
      <c r="N21" s="727">
        <v>1047767.4538</v>
      </c>
      <c r="O21" s="730">
        <f t="shared" si="0"/>
        <v>12152506.586399999</v>
      </c>
    </row>
    <row r="22" spans="1:16" x14ac:dyDescent="0.2">
      <c r="A22" s="700" t="s">
        <v>292</v>
      </c>
      <c r="B22" s="720">
        <v>8.3400000000000002E-2</v>
      </c>
      <c r="C22" s="727">
        <v>2954999.5266</v>
      </c>
      <c r="D22" s="728">
        <v>3413908.4435999999</v>
      </c>
      <c r="E22" s="727">
        <v>2883561.0048000002</v>
      </c>
      <c r="F22" s="728">
        <v>3182193.8034000001</v>
      </c>
      <c r="G22" s="727">
        <v>2691528.7518000002</v>
      </c>
      <c r="H22" s="727">
        <v>2882822.2475999999</v>
      </c>
      <c r="I22" s="727">
        <v>3224754.6581999999</v>
      </c>
      <c r="J22" s="728">
        <v>2773247.7414000002</v>
      </c>
      <c r="K22" s="727">
        <v>3093189.5736000002</v>
      </c>
      <c r="L22" s="728">
        <v>3085985.8152000001</v>
      </c>
      <c r="M22" s="727">
        <v>2772358.0301999999</v>
      </c>
      <c r="N22" s="727">
        <v>3109743.9731999999</v>
      </c>
      <c r="O22" s="730">
        <f t="shared" si="0"/>
        <v>36068293.569600001</v>
      </c>
    </row>
    <row r="23" spans="1:16" x14ac:dyDescent="0.2">
      <c r="A23" s="700" t="s">
        <v>164</v>
      </c>
      <c r="B23" s="720">
        <v>3.5000000000000003E-2</v>
      </c>
      <c r="C23" s="727">
        <v>1240107.7150000001</v>
      </c>
      <c r="D23" s="728">
        <v>1432695.3900000001</v>
      </c>
      <c r="E23" s="727">
        <v>1210127.52</v>
      </c>
      <c r="F23" s="728">
        <v>1335453.0350000001</v>
      </c>
      <c r="G23" s="727">
        <v>1129538.4450000001</v>
      </c>
      <c r="H23" s="727">
        <v>1209817.4900000002</v>
      </c>
      <c r="I23" s="727">
        <v>1353314.3050000002</v>
      </c>
      <c r="J23" s="728">
        <v>1163832.9850000001</v>
      </c>
      <c r="K23" s="727">
        <v>1298101.1400000001</v>
      </c>
      <c r="L23" s="728">
        <v>1295077.9800000002</v>
      </c>
      <c r="M23" s="727">
        <v>1163459.6050000002</v>
      </c>
      <c r="N23" s="727">
        <v>1305048.4300000002</v>
      </c>
      <c r="O23" s="730">
        <f t="shared" si="0"/>
        <v>15136574.040000001</v>
      </c>
    </row>
    <row r="24" spans="1:16" x14ac:dyDescent="0.2">
      <c r="A24" s="700" t="s">
        <v>165</v>
      </c>
      <c r="B24" s="720">
        <v>0.39</v>
      </c>
      <c r="C24" s="727">
        <v>13818343.110000001</v>
      </c>
      <c r="D24" s="728">
        <v>15964320.060000001</v>
      </c>
      <c r="E24" s="727">
        <v>13484278.08</v>
      </c>
      <c r="F24" s="728">
        <v>14880762.390000001</v>
      </c>
      <c r="G24" s="727">
        <v>12586285.530000001</v>
      </c>
      <c r="H24" s="727">
        <v>13480823.460000001</v>
      </c>
      <c r="I24" s="727">
        <v>15079787.970000001</v>
      </c>
      <c r="J24" s="728">
        <v>12968424.690000001</v>
      </c>
      <c r="K24" s="727">
        <v>14464555.560000001</v>
      </c>
      <c r="L24" s="728">
        <v>14430868.92</v>
      </c>
      <c r="M24" s="727">
        <v>12964264.17</v>
      </c>
      <c r="N24" s="727">
        <v>14541968.220000001</v>
      </c>
      <c r="O24" s="730">
        <f t="shared" si="0"/>
        <v>168664682.15999997</v>
      </c>
    </row>
    <row r="25" spans="1:16" x14ac:dyDescent="0.2">
      <c r="A25" s="700" t="s">
        <v>166</v>
      </c>
      <c r="B25" s="720">
        <v>3.7900000000000003E-2</v>
      </c>
      <c r="C25" s="727">
        <v>1342859.4971</v>
      </c>
      <c r="D25" s="728">
        <v>1551404.4366000001</v>
      </c>
      <c r="E25" s="727">
        <v>1310395.2288000002</v>
      </c>
      <c r="F25" s="728">
        <v>1446104.8579000002</v>
      </c>
      <c r="G25" s="727">
        <v>1223128.7733</v>
      </c>
      <c r="H25" s="727">
        <v>1310059.5106000002</v>
      </c>
      <c r="I25" s="727">
        <v>1465446.0617000002</v>
      </c>
      <c r="J25" s="728">
        <v>1260264.8609000002</v>
      </c>
      <c r="K25" s="727">
        <v>1405658.0916000002</v>
      </c>
      <c r="L25" s="728">
        <v>1402384.4412</v>
      </c>
      <c r="M25" s="727">
        <v>1259860.5437</v>
      </c>
      <c r="N25" s="727">
        <v>1413181.0142000001</v>
      </c>
      <c r="O25" s="730">
        <f t="shared" si="0"/>
        <v>16390747.317600001</v>
      </c>
    </row>
    <row r="26" spans="1:16" ht="13.5" thickBot="1" x14ac:dyDescent="0.25">
      <c r="A26" s="700" t="s">
        <v>167</v>
      </c>
      <c r="B26" s="720">
        <v>3.1E-2</v>
      </c>
      <c r="C26" s="727">
        <v>1098381.1189999999</v>
      </c>
      <c r="D26" s="728">
        <v>1268958.774</v>
      </c>
      <c r="E26" s="727">
        <v>1071827.2320000001</v>
      </c>
      <c r="F26" s="728">
        <v>1182829.831</v>
      </c>
      <c r="G26" s="727">
        <v>1000448.3369999999</v>
      </c>
      <c r="H26" s="727">
        <v>1071552.6340000001</v>
      </c>
      <c r="I26" s="733">
        <v>1198649.8130000001</v>
      </c>
      <c r="J26" s="728">
        <v>1030823.501</v>
      </c>
      <c r="K26" s="727">
        <v>1149746.7239999999</v>
      </c>
      <c r="L26" s="728">
        <v>1147069.068</v>
      </c>
      <c r="M26" s="727">
        <v>1030492.7929999999</v>
      </c>
      <c r="N26" s="727">
        <v>1155900.0379999999</v>
      </c>
      <c r="O26" s="730">
        <f t="shared" si="0"/>
        <v>13406679.864</v>
      </c>
    </row>
    <row r="27" spans="1:16" ht="13.5" thickBot="1" x14ac:dyDescent="0.25">
      <c r="A27" s="705" t="s">
        <v>293</v>
      </c>
      <c r="B27" s="721">
        <f t="shared" ref="B27:N27" si="1">SUM(B7:B26)</f>
        <v>1</v>
      </c>
      <c r="C27" s="735">
        <f t="shared" si="1"/>
        <v>35431649.000000007</v>
      </c>
      <c r="D27" s="735">
        <f t="shared" si="1"/>
        <v>40934153.999999993</v>
      </c>
      <c r="E27" s="735">
        <f t="shared" si="1"/>
        <v>34575072</v>
      </c>
      <c r="F27" s="735">
        <f t="shared" si="1"/>
        <v>38155801</v>
      </c>
      <c r="G27" s="735">
        <f t="shared" si="1"/>
        <v>32272527</v>
      </c>
      <c r="H27" s="735">
        <f t="shared" si="1"/>
        <v>34566214.000000007</v>
      </c>
      <c r="I27" s="735">
        <f t="shared" si="1"/>
        <v>38666123.000000007</v>
      </c>
      <c r="J27" s="735">
        <f t="shared" si="1"/>
        <v>33252371</v>
      </c>
      <c r="K27" s="735">
        <f t="shared" si="1"/>
        <v>37088604</v>
      </c>
      <c r="L27" s="735">
        <f t="shared" si="1"/>
        <v>37002228</v>
      </c>
      <c r="M27" s="735">
        <f t="shared" si="1"/>
        <v>33241703</v>
      </c>
      <c r="N27" s="735">
        <f t="shared" si="1"/>
        <v>37287098.000000007</v>
      </c>
      <c r="O27" s="735">
        <f t="shared" si="0"/>
        <v>432473544</v>
      </c>
    </row>
    <row r="28" spans="1:16" x14ac:dyDescent="0.2">
      <c r="A28" s="708"/>
      <c r="B28" s="708"/>
      <c r="C28" s="708"/>
      <c r="D28" s="708"/>
      <c r="E28" s="708"/>
      <c r="F28" s="708"/>
      <c r="G28" s="708"/>
      <c r="H28" s="708"/>
      <c r="I28" s="708"/>
      <c r="J28" s="708"/>
      <c r="K28" s="708"/>
      <c r="L28" s="708"/>
      <c r="M28" s="708"/>
      <c r="N28" s="708"/>
      <c r="O28" s="708"/>
      <c r="P28" s="704"/>
    </row>
    <row r="29" spans="1:16" x14ac:dyDescent="0.2">
      <c r="A29" s="709"/>
      <c r="M29" s="704"/>
      <c r="O29" s="704"/>
    </row>
    <row r="31" spans="1:16" x14ac:dyDescent="0.2">
      <c r="M31" s="704"/>
    </row>
    <row r="32" spans="1:16" x14ac:dyDescent="0.2">
      <c r="O32" s="704"/>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32"/>
  <sheetViews>
    <sheetView workbookViewId="0">
      <selection activeCell="G41" sqref="G41"/>
    </sheetView>
  </sheetViews>
  <sheetFormatPr baseColWidth="10" defaultRowHeight="12.75" x14ac:dyDescent="0.2"/>
  <cols>
    <col min="1" max="1" width="16.42578125" style="695" bestFit="1" customWidth="1"/>
    <col min="2" max="2" width="12.28515625" style="695" bestFit="1" customWidth="1"/>
    <col min="3" max="3" width="13.85546875" style="695" bestFit="1" customWidth="1"/>
    <col min="4" max="4" width="17" style="695" bestFit="1" customWidth="1"/>
    <col min="5" max="5" width="14.5703125" style="695" customWidth="1"/>
    <col min="6" max="10" width="13.28515625" style="695" bestFit="1" customWidth="1"/>
    <col min="11" max="11" width="11.5703125" style="695" customWidth="1"/>
    <col min="12" max="12" width="11.7109375" style="695" bestFit="1" customWidth="1"/>
    <col min="13" max="14" width="13.28515625" style="695" bestFit="1" customWidth="1"/>
    <col min="15" max="15" width="15.28515625" style="695" bestFit="1" customWidth="1"/>
    <col min="16" max="19" width="11.42578125" style="695"/>
    <col min="20" max="20" width="11.7109375" style="695" bestFit="1" customWidth="1"/>
    <col min="21"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423</v>
      </c>
      <c r="B4" s="958"/>
      <c r="C4" s="958"/>
      <c r="D4" s="958"/>
      <c r="E4" s="958"/>
      <c r="F4" s="958"/>
      <c r="G4" s="958"/>
      <c r="H4" s="958"/>
      <c r="I4" s="958"/>
      <c r="J4" s="958"/>
      <c r="K4" s="958"/>
      <c r="L4" s="958"/>
      <c r="M4" s="958"/>
      <c r="N4" s="958"/>
      <c r="O4" s="958"/>
    </row>
    <row r="5" spans="1:15" ht="13.5" thickBot="1" x14ac:dyDescent="0.25">
      <c r="A5" s="695" t="s">
        <v>409</v>
      </c>
    </row>
    <row r="6" spans="1:15" ht="23.25" thickBot="1" x14ac:dyDescent="0.25">
      <c r="A6" s="722" t="s">
        <v>410</v>
      </c>
      <c r="B6" s="723" t="s">
        <v>286</v>
      </c>
      <c r="C6" s="722" t="s">
        <v>1</v>
      </c>
      <c r="D6" s="724" t="s">
        <v>2</v>
      </c>
      <c r="E6" s="722" t="s">
        <v>3</v>
      </c>
      <c r="F6" s="724" t="s">
        <v>4</v>
      </c>
      <c r="G6" s="722" t="s">
        <v>5</v>
      </c>
      <c r="H6" s="722" t="s">
        <v>6</v>
      </c>
      <c r="I6" s="722" t="s">
        <v>7</v>
      </c>
      <c r="J6" s="724" t="s">
        <v>8</v>
      </c>
      <c r="K6" s="722" t="s">
        <v>9</v>
      </c>
      <c r="L6" s="724" t="s">
        <v>10</v>
      </c>
      <c r="M6" s="722" t="s">
        <v>11</v>
      </c>
      <c r="N6" s="722" t="s">
        <v>12</v>
      </c>
      <c r="O6" s="725" t="s">
        <v>170</v>
      </c>
    </row>
    <row r="7" spans="1:15" x14ac:dyDescent="0.2">
      <c r="A7" s="700" t="s">
        <v>287</v>
      </c>
      <c r="B7" s="701">
        <f>'[3]FGP simpl'!$C$16</f>
        <v>3.6636711021849497</v>
      </c>
      <c r="C7" s="727">
        <f>$C$32*B7/100</f>
        <v>938443.70323193329</v>
      </c>
      <c r="D7" s="727">
        <f>$D$32*B7/100</f>
        <v>2100885.0525384792</v>
      </c>
      <c r="E7" s="727">
        <f>$E$32*B7/100</f>
        <v>1447154.1166000655</v>
      </c>
      <c r="F7" s="727">
        <f>$F$32*B7/100</f>
        <v>2041607.6183323425</v>
      </c>
      <c r="G7" s="727">
        <f>$G$32*B7/100</f>
        <v>1981806.7544034836</v>
      </c>
      <c r="H7" s="727">
        <f>$H$32*B7/100</f>
        <v>2465188.9355652914</v>
      </c>
      <c r="I7" s="727">
        <f>$I$32*B7/100</f>
        <v>1302353.4538181624</v>
      </c>
      <c r="J7" s="727">
        <f>$J$32*B7/100</f>
        <v>1811520.4615121328</v>
      </c>
      <c r="K7" s="727">
        <f>$K$32*B7/100</f>
        <v>1154448.0147040861</v>
      </c>
      <c r="L7" s="727">
        <f>$L$32*B7/100</f>
        <v>278364.92473816813</v>
      </c>
      <c r="M7" s="727">
        <f>$M$32*B7/100</f>
        <v>1381847.7083420542</v>
      </c>
      <c r="N7" s="727">
        <f>$N$32*B7/100</f>
        <v>1210679.9289776916</v>
      </c>
      <c r="O7" s="730">
        <f>SUM(C7:N7)</f>
        <v>18114300.672763892</v>
      </c>
    </row>
    <row r="8" spans="1:15" x14ac:dyDescent="0.2">
      <c r="A8" s="700" t="s">
        <v>149</v>
      </c>
      <c r="B8" s="701">
        <v>2.8774681766767136</v>
      </c>
      <c r="C8" s="727">
        <f t="shared" ref="C8:C26" si="0">$C$32*B8/100</f>
        <v>737059.03623338265</v>
      </c>
      <c r="D8" s="727">
        <f t="shared" ref="D8:D26" si="1">$D$32*B8/100</f>
        <v>1650047.1010975819</v>
      </c>
      <c r="E8" s="727">
        <f t="shared" ref="E8:E26" si="2">$E$32*B8/100</f>
        <v>1136603.0959438391</v>
      </c>
      <c r="F8" s="727">
        <f t="shared" ref="F8:F26" si="3">$F$32*B8/100</f>
        <v>1603490.2662273659</v>
      </c>
      <c r="G8" s="727">
        <f t="shared" ref="G8:G26" si="4">$G$32*B8/100</f>
        <v>1556522.3266679326</v>
      </c>
      <c r="H8" s="727">
        <f t="shared" ref="H8:H26" si="5">$H$32*B8/100</f>
        <v>1936173.4483628254</v>
      </c>
      <c r="I8" s="727">
        <f t="shared" ref="I8:I26" si="6">$I$32*B8/100</f>
        <v>1022875.8296321512</v>
      </c>
      <c r="J8" s="727">
        <f t="shared" ref="J8:J26" si="7">$J$32*B8/100</f>
        <v>1422778.5011299667</v>
      </c>
      <c r="K8" s="727">
        <f t="shared" ref="K8:K26" si="8">$K$32*B8/100</f>
        <v>906710.05428339425</v>
      </c>
      <c r="L8" s="727">
        <f t="shared" ref="L8:L26" si="9">$L$32*B8/100</f>
        <v>218629.39933647239</v>
      </c>
      <c r="M8" s="727">
        <f t="shared" ref="M8:M26" si="10">$M$32*B8/100</f>
        <v>1085311.0704715156</v>
      </c>
      <c r="N8" s="727">
        <f t="shared" ref="N8:N26" si="11">$N$32*B8/100</f>
        <v>950874.9204307443</v>
      </c>
      <c r="O8" s="730">
        <f t="shared" ref="O8:O26" si="12">SUM(C8:N8)</f>
        <v>14227075.049817171</v>
      </c>
    </row>
    <row r="9" spans="1:15" x14ac:dyDescent="0.2">
      <c r="A9" s="700" t="s">
        <v>150</v>
      </c>
      <c r="B9" s="701">
        <v>4.7152682285520395</v>
      </c>
      <c r="C9" s="727">
        <f t="shared" si="0"/>
        <v>1207808.6855272714</v>
      </c>
      <c r="D9" s="727">
        <f t="shared" si="1"/>
        <v>2703909.8935946147</v>
      </c>
      <c r="E9" s="727">
        <f t="shared" si="2"/>
        <v>1862536.1386160003</v>
      </c>
      <c r="F9" s="727">
        <f t="shared" si="3"/>
        <v>2627617.8372428357</v>
      </c>
      <c r="G9" s="727">
        <f t="shared" si="4"/>
        <v>2550652.1091905697</v>
      </c>
      <c r="H9" s="727">
        <f t="shared" si="5"/>
        <v>3172781.2734927745</v>
      </c>
      <c r="I9" s="727">
        <f t="shared" si="6"/>
        <v>1676172.8036862924</v>
      </c>
      <c r="J9" s="727">
        <f t="shared" si="7"/>
        <v>2331487.9090663744</v>
      </c>
      <c r="K9" s="727">
        <f t="shared" si="8"/>
        <v>1485813.5169400787</v>
      </c>
      <c r="L9" s="727">
        <f t="shared" si="9"/>
        <v>358265.04316350142</v>
      </c>
      <c r="M9" s="727">
        <f t="shared" si="10"/>
        <v>1778484.5893936367</v>
      </c>
      <c r="N9" s="727">
        <f t="shared" si="11"/>
        <v>1558185.886459511</v>
      </c>
      <c r="O9" s="730">
        <f t="shared" si="12"/>
        <v>23313715.686373461</v>
      </c>
    </row>
    <row r="10" spans="1:15" x14ac:dyDescent="0.2">
      <c r="A10" s="700" t="s">
        <v>288</v>
      </c>
      <c r="B10" s="701">
        <v>9.1392838894846484</v>
      </c>
      <c r="C10" s="727">
        <f t="shared" si="0"/>
        <v>2341013.4749871306</v>
      </c>
      <c r="D10" s="727">
        <f t="shared" si="1"/>
        <v>5240804.7498786496</v>
      </c>
      <c r="E10" s="727">
        <f t="shared" si="2"/>
        <v>3610027.1925492003</v>
      </c>
      <c r="F10" s="727">
        <f t="shared" si="3"/>
        <v>5092933.0429650452</v>
      </c>
      <c r="G10" s="727">
        <f t="shared" si="4"/>
        <v>4943755.6039868752</v>
      </c>
      <c r="H10" s="727">
        <f t="shared" si="5"/>
        <v>6149586.2742458358</v>
      </c>
      <c r="I10" s="727">
        <f t="shared" si="6"/>
        <v>3248811.8084061993</v>
      </c>
      <c r="J10" s="727">
        <f t="shared" si="7"/>
        <v>4518964.5324592376</v>
      </c>
      <c r="K10" s="727">
        <f t="shared" si="8"/>
        <v>2879851.3424800225</v>
      </c>
      <c r="L10" s="727">
        <f t="shared" si="9"/>
        <v>694400.78028290148</v>
      </c>
      <c r="M10" s="727">
        <f t="shared" si="10"/>
        <v>3447115.788052056</v>
      </c>
      <c r="N10" s="727">
        <f t="shared" si="11"/>
        <v>3020125.7868451709</v>
      </c>
      <c r="O10" s="730">
        <f t="shared" si="12"/>
        <v>45187390.377138324</v>
      </c>
    </row>
    <row r="11" spans="1:15" x14ac:dyDescent="0.2">
      <c r="A11" s="700" t="s">
        <v>152</v>
      </c>
      <c r="B11" s="701">
        <v>5.3963653133391265</v>
      </c>
      <c r="C11" s="727">
        <f t="shared" si="0"/>
        <v>1382270.6535043851</v>
      </c>
      <c r="D11" s="727">
        <f t="shared" si="1"/>
        <v>3094476.2530866987</v>
      </c>
      <c r="E11" s="727">
        <f t="shared" si="2"/>
        <v>2131570.2365365564</v>
      </c>
      <c r="F11" s="727">
        <f t="shared" si="3"/>
        <v>3007164.1879772055</v>
      </c>
      <c r="G11" s="727">
        <f t="shared" si="4"/>
        <v>2919081.142634803</v>
      </c>
      <c r="H11" s="727">
        <f t="shared" si="5"/>
        <v>3631073.7759124255</v>
      </c>
      <c r="I11" s="727">
        <f t="shared" si="6"/>
        <v>1918287.6431512586</v>
      </c>
      <c r="J11" s="727">
        <f t="shared" si="7"/>
        <v>2668259.7619306347</v>
      </c>
      <c r="K11" s="727">
        <f t="shared" si="8"/>
        <v>1700431.9025490552</v>
      </c>
      <c r="L11" s="727">
        <f t="shared" si="9"/>
        <v>410014.64989896218</v>
      </c>
      <c r="M11" s="727">
        <f t="shared" si="10"/>
        <v>2035377.8583364168</v>
      </c>
      <c r="N11" s="727">
        <f t="shared" si="11"/>
        <v>1783258.1015241139</v>
      </c>
      <c r="O11" s="730">
        <f t="shared" si="12"/>
        <v>26681266.167042512</v>
      </c>
    </row>
    <row r="12" spans="1:15" x14ac:dyDescent="0.2">
      <c r="A12" s="700" t="s">
        <v>289</v>
      </c>
      <c r="B12" s="701">
        <v>3.6295907588400458</v>
      </c>
      <c r="C12" s="727">
        <f t="shared" si="0"/>
        <v>929714.07583799656</v>
      </c>
      <c r="D12" s="727">
        <f t="shared" si="1"/>
        <v>2081342.11816427</v>
      </c>
      <c r="E12" s="727">
        <f t="shared" si="2"/>
        <v>1433692.3434792992</v>
      </c>
      <c r="F12" s="727">
        <f t="shared" si="3"/>
        <v>2022616.0968044295</v>
      </c>
      <c r="G12" s="727">
        <f t="shared" si="4"/>
        <v>1963371.514790124</v>
      </c>
      <c r="H12" s="727">
        <f t="shared" si="5"/>
        <v>2442257.1594885532</v>
      </c>
      <c r="I12" s="727">
        <f t="shared" si="6"/>
        <v>1290238.6510357636</v>
      </c>
      <c r="J12" s="727">
        <f t="shared" si="7"/>
        <v>1794669.2656534673</v>
      </c>
      <c r="K12" s="727">
        <f t="shared" si="8"/>
        <v>1143709.0636308051</v>
      </c>
      <c r="L12" s="727">
        <f t="shared" si="9"/>
        <v>275775.50774476025</v>
      </c>
      <c r="M12" s="727">
        <f t="shared" si="10"/>
        <v>1368993.4310237162</v>
      </c>
      <c r="N12" s="727">
        <f t="shared" si="11"/>
        <v>1199417.8952116866</v>
      </c>
      <c r="O12" s="730">
        <f t="shared" si="12"/>
        <v>17945797.122864868</v>
      </c>
    </row>
    <row r="13" spans="1:15" x14ac:dyDescent="0.2">
      <c r="A13" s="700" t="s">
        <v>154</v>
      </c>
      <c r="B13" s="701">
        <v>4.0700473326514279</v>
      </c>
      <c r="C13" s="727">
        <f t="shared" si="0"/>
        <v>1042536.3480102698</v>
      </c>
      <c r="D13" s="727">
        <f t="shared" si="1"/>
        <v>2333916.2729951395</v>
      </c>
      <c r="E13" s="727">
        <f t="shared" si="2"/>
        <v>1607673.174781149</v>
      </c>
      <c r="F13" s="727">
        <f t="shared" si="3"/>
        <v>2268063.7561485199</v>
      </c>
      <c r="G13" s="727">
        <f t="shared" si="4"/>
        <v>2201629.7504926221</v>
      </c>
      <c r="H13" s="727">
        <f t="shared" si="5"/>
        <v>2738628.9248768981</v>
      </c>
      <c r="I13" s="727">
        <f t="shared" si="6"/>
        <v>1446811.1500840718</v>
      </c>
      <c r="J13" s="727">
        <f t="shared" si="7"/>
        <v>2012455.2168517052</v>
      </c>
      <c r="K13" s="727">
        <f t="shared" si="8"/>
        <v>1282499.9657116886</v>
      </c>
      <c r="L13" s="727">
        <f t="shared" si="9"/>
        <v>309241.3013708081</v>
      </c>
      <c r="M13" s="727">
        <f t="shared" si="10"/>
        <v>1535122.9470663727</v>
      </c>
      <c r="N13" s="727">
        <f t="shared" si="11"/>
        <v>1344969.1520321199</v>
      </c>
      <c r="O13" s="730">
        <f t="shared" si="12"/>
        <v>20123547.960421365</v>
      </c>
    </row>
    <row r="14" spans="1:15" x14ac:dyDescent="0.2">
      <c r="A14" s="700" t="s">
        <v>155</v>
      </c>
      <c r="B14" s="701">
        <v>3.2056447774490451</v>
      </c>
      <c r="C14" s="727">
        <f t="shared" si="0"/>
        <v>821120.96645391569</v>
      </c>
      <c r="D14" s="727">
        <f t="shared" si="1"/>
        <v>1838235.7501125813</v>
      </c>
      <c r="E14" s="727">
        <f t="shared" si="2"/>
        <v>1266233.2143505542</v>
      </c>
      <c r="F14" s="727">
        <f t="shared" si="3"/>
        <v>1786369.0862982022</v>
      </c>
      <c r="G14" s="727">
        <f t="shared" si="4"/>
        <v>1734044.4311111795</v>
      </c>
      <c r="H14" s="727">
        <f t="shared" si="5"/>
        <v>2156994.9420424565</v>
      </c>
      <c r="I14" s="727">
        <f t="shared" si="6"/>
        <v>1139535.2997530513</v>
      </c>
      <c r="J14" s="727">
        <f t="shared" si="7"/>
        <v>1585047.0592802952</v>
      </c>
      <c r="K14" s="727">
        <f t="shared" si="8"/>
        <v>1010120.7630143188</v>
      </c>
      <c r="L14" s="727">
        <f t="shared" si="9"/>
        <v>243564.18530029338</v>
      </c>
      <c r="M14" s="727">
        <f t="shared" si="10"/>
        <v>1209091.3092157298</v>
      </c>
      <c r="N14" s="727">
        <f t="shared" si="11"/>
        <v>1059322.6529464261</v>
      </c>
      <c r="O14" s="730">
        <f t="shared" si="12"/>
        <v>15849679.659879003</v>
      </c>
    </row>
    <row r="15" spans="1:15" x14ac:dyDescent="0.2">
      <c r="A15" s="700" t="s">
        <v>156</v>
      </c>
      <c r="B15" s="701">
        <v>3.1677886526185874</v>
      </c>
      <c r="C15" s="727">
        <f t="shared" si="0"/>
        <v>811424.17845492798</v>
      </c>
      <c r="D15" s="727">
        <f t="shared" si="1"/>
        <v>1816527.6424290321</v>
      </c>
      <c r="E15" s="727">
        <f t="shared" si="2"/>
        <v>1251280.003388399</v>
      </c>
      <c r="F15" s="727">
        <f t="shared" si="3"/>
        <v>1765273.4828177725</v>
      </c>
      <c r="G15" s="727">
        <f t="shared" si="4"/>
        <v>1713566.7403490914</v>
      </c>
      <c r="H15" s="727">
        <f t="shared" si="5"/>
        <v>2131522.5408709194</v>
      </c>
      <c r="I15" s="727">
        <f t="shared" si="6"/>
        <v>1126078.2907732562</v>
      </c>
      <c r="J15" s="727">
        <f t="shared" si="7"/>
        <v>1566328.9094215282</v>
      </c>
      <c r="K15" s="727">
        <f t="shared" si="8"/>
        <v>998192.03717185766</v>
      </c>
      <c r="L15" s="727">
        <f t="shared" si="9"/>
        <v>240687.88525987096</v>
      </c>
      <c r="M15" s="727">
        <f t="shared" si="10"/>
        <v>1194812.898876854</v>
      </c>
      <c r="N15" s="727">
        <f t="shared" si="11"/>
        <v>1046812.8917689623</v>
      </c>
      <c r="O15" s="730">
        <f t="shared" si="12"/>
        <v>15662507.50158247</v>
      </c>
    </row>
    <row r="16" spans="1:15" x14ac:dyDescent="0.2">
      <c r="A16" s="700" t="s">
        <v>157</v>
      </c>
      <c r="B16" s="701">
        <v>2.8145431996763457</v>
      </c>
      <c r="C16" s="727">
        <f t="shared" si="0"/>
        <v>720940.90040869231</v>
      </c>
      <c r="D16" s="727">
        <f t="shared" si="1"/>
        <v>1613963.5827019052</v>
      </c>
      <c r="E16" s="727">
        <f t="shared" si="2"/>
        <v>1111747.660790629</v>
      </c>
      <c r="F16" s="727">
        <f t="shared" si="3"/>
        <v>1568424.8608336553</v>
      </c>
      <c r="G16" s="727">
        <f t="shared" si="4"/>
        <v>1522484.0243853831</v>
      </c>
      <c r="H16" s="727">
        <f t="shared" si="5"/>
        <v>1893832.8689970917</v>
      </c>
      <c r="I16" s="727">
        <f t="shared" si="6"/>
        <v>1000507.4022154588</v>
      </c>
      <c r="J16" s="727">
        <f t="shared" si="7"/>
        <v>1391664.9321995119</v>
      </c>
      <c r="K16" s="727">
        <f t="shared" si="8"/>
        <v>886881.96034503507</v>
      </c>
      <c r="L16" s="727">
        <f t="shared" si="9"/>
        <v>213848.37342057831</v>
      </c>
      <c r="M16" s="727">
        <f t="shared" si="10"/>
        <v>1061577.298295957</v>
      </c>
      <c r="N16" s="727">
        <f t="shared" si="11"/>
        <v>930081.02148050978</v>
      </c>
      <c r="O16" s="730">
        <f t="shared" si="12"/>
        <v>13915954.886074407</v>
      </c>
    </row>
    <row r="17" spans="1:20" x14ac:dyDescent="0.2">
      <c r="A17" s="700" t="s">
        <v>158</v>
      </c>
      <c r="B17" s="701">
        <v>3.814501471077032</v>
      </c>
      <c r="C17" s="727">
        <f t="shared" si="0"/>
        <v>977078.66963448736</v>
      </c>
      <c r="D17" s="727">
        <f t="shared" si="1"/>
        <v>2187376.7868225039</v>
      </c>
      <c r="E17" s="727">
        <f t="shared" si="2"/>
        <v>1506732.2782751971</v>
      </c>
      <c r="F17" s="727">
        <f t="shared" si="3"/>
        <v>2125658.9487103079</v>
      </c>
      <c r="G17" s="727">
        <f t="shared" si="4"/>
        <v>2063396.1316980855</v>
      </c>
      <c r="H17" s="727">
        <f t="shared" si="5"/>
        <v>2566678.7653478403</v>
      </c>
      <c r="I17" s="727">
        <f t="shared" si="6"/>
        <v>1355970.2896062112</v>
      </c>
      <c r="J17" s="727">
        <f t="shared" si="7"/>
        <v>1886099.2901909621</v>
      </c>
      <c r="K17" s="727">
        <f t="shared" si="8"/>
        <v>1201975.7034807079</v>
      </c>
      <c r="L17" s="727">
        <f t="shared" si="9"/>
        <v>289824.98300044908</v>
      </c>
      <c r="M17" s="727">
        <f t="shared" si="10"/>
        <v>1438737.2581375064</v>
      </c>
      <c r="N17" s="727">
        <f t="shared" si="11"/>
        <v>1260522.6400739581</v>
      </c>
      <c r="O17" s="730">
        <f t="shared" si="12"/>
        <v>18860051.744978219</v>
      </c>
    </row>
    <row r="18" spans="1:20" x14ac:dyDescent="0.2">
      <c r="A18" s="700" t="s">
        <v>159</v>
      </c>
      <c r="B18" s="701">
        <v>3.0792318274418586</v>
      </c>
      <c r="C18" s="727">
        <f t="shared" si="0"/>
        <v>788740.48424565524</v>
      </c>
      <c r="D18" s="727">
        <f t="shared" si="1"/>
        <v>1765745.8705054831</v>
      </c>
      <c r="E18" s="727">
        <f t="shared" si="2"/>
        <v>1216299.9600021066</v>
      </c>
      <c r="F18" s="727">
        <f t="shared" si="3"/>
        <v>1715924.541852982</v>
      </c>
      <c r="G18" s="727">
        <f t="shared" si="4"/>
        <v>1665663.2824816254</v>
      </c>
      <c r="H18" s="727">
        <f t="shared" si="5"/>
        <v>2071934.9579505348</v>
      </c>
      <c r="I18" s="727">
        <f t="shared" si="6"/>
        <v>1094598.3123823735</v>
      </c>
      <c r="J18" s="727">
        <f t="shared" si="7"/>
        <v>1522541.5452341361</v>
      </c>
      <c r="K18" s="727">
        <f t="shared" si="8"/>
        <v>970287.1712157405</v>
      </c>
      <c r="L18" s="727">
        <f t="shared" si="9"/>
        <v>233959.35715573252</v>
      </c>
      <c r="M18" s="727">
        <f t="shared" si="10"/>
        <v>1161411.4164524272</v>
      </c>
      <c r="N18" s="727">
        <f t="shared" si="11"/>
        <v>1017548.8099709234</v>
      </c>
      <c r="O18" s="730">
        <f t="shared" si="12"/>
        <v>15224655.709449722</v>
      </c>
    </row>
    <row r="19" spans="1:20" x14ac:dyDescent="0.2">
      <c r="A19" s="700" t="s">
        <v>160</v>
      </c>
      <c r="B19" s="701">
        <v>3.9687689066587866</v>
      </c>
      <c r="C19" s="727">
        <f t="shared" si="0"/>
        <v>1016594.0353694456</v>
      </c>
      <c r="D19" s="727">
        <f t="shared" si="1"/>
        <v>2275839.4627744649</v>
      </c>
      <c r="E19" s="727">
        <f t="shared" si="2"/>
        <v>1567668.0850746476</v>
      </c>
      <c r="F19" s="727">
        <f t="shared" si="3"/>
        <v>2211625.6097341296</v>
      </c>
      <c r="G19" s="727">
        <f t="shared" si="4"/>
        <v>2146844.7375617758</v>
      </c>
      <c r="H19" s="727">
        <f t="shared" si="5"/>
        <v>2670481.3078542813</v>
      </c>
      <c r="I19" s="727">
        <f t="shared" si="6"/>
        <v>1410808.9260279548</v>
      </c>
      <c r="J19" s="727">
        <f t="shared" si="7"/>
        <v>1962377.5936485759</v>
      </c>
      <c r="K19" s="727">
        <f t="shared" si="8"/>
        <v>1250586.4356598698</v>
      </c>
      <c r="L19" s="727">
        <f t="shared" si="9"/>
        <v>301546.18883403362</v>
      </c>
      <c r="M19" s="727">
        <f t="shared" si="10"/>
        <v>1496923.1859636477</v>
      </c>
      <c r="N19" s="727">
        <f t="shared" si="11"/>
        <v>1311501.1484456032</v>
      </c>
      <c r="O19" s="730">
        <f t="shared" si="12"/>
        <v>19622796.716948431</v>
      </c>
    </row>
    <row r="20" spans="1:20" x14ac:dyDescent="0.2">
      <c r="A20" s="700" t="s">
        <v>290</v>
      </c>
      <c r="B20" s="701">
        <v>2.5568285677800717</v>
      </c>
      <c r="C20" s="727">
        <f t="shared" si="0"/>
        <v>654927.69485933008</v>
      </c>
      <c r="D20" s="727">
        <f t="shared" si="1"/>
        <v>1466180.443094084</v>
      </c>
      <c r="E20" s="727">
        <f t="shared" si="2"/>
        <v>1009950.0976211785</v>
      </c>
      <c r="F20" s="727">
        <f t="shared" si="3"/>
        <v>1424811.4902116689</v>
      </c>
      <c r="G20" s="727">
        <f t="shared" si="4"/>
        <v>1383077.2425113097</v>
      </c>
      <c r="H20" s="727">
        <f t="shared" si="5"/>
        <v>1720423.4003619063</v>
      </c>
      <c r="I20" s="727">
        <f t="shared" si="6"/>
        <v>908895.59220625192</v>
      </c>
      <c r="J20" s="727">
        <f t="shared" si="7"/>
        <v>1264236.646228988</v>
      </c>
      <c r="K20" s="727">
        <f t="shared" si="8"/>
        <v>805674.30363823811</v>
      </c>
      <c r="L20" s="727">
        <f t="shared" si="9"/>
        <v>194267.27235805464</v>
      </c>
      <c r="M20" s="727">
        <f t="shared" si="10"/>
        <v>964373.60190528037</v>
      </c>
      <c r="N20" s="727">
        <f t="shared" si="11"/>
        <v>844917.82764069829</v>
      </c>
      <c r="O20" s="730">
        <f t="shared" si="12"/>
        <v>12641735.612636991</v>
      </c>
    </row>
    <row r="21" spans="1:20" x14ac:dyDescent="0.2">
      <c r="A21" s="700" t="s">
        <v>291</v>
      </c>
      <c r="B21" s="701">
        <v>3.0448340829893383</v>
      </c>
      <c r="C21" s="727">
        <f t="shared" si="0"/>
        <v>779929.55504745361</v>
      </c>
      <c r="D21" s="727">
        <f t="shared" si="1"/>
        <v>1746020.9265501592</v>
      </c>
      <c r="E21" s="727">
        <f t="shared" si="2"/>
        <v>1202712.8130945868</v>
      </c>
      <c r="F21" s="727">
        <f t="shared" si="3"/>
        <v>1696756.1462276671</v>
      </c>
      <c r="G21" s="727">
        <f t="shared" si="4"/>
        <v>1647056.3496017619</v>
      </c>
      <c r="H21" s="727">
        <f t="shared" si="5"/>
        <v>2048789.610929023</v>
      </c>
      <c r="I21" s="727">
        <f t="shared" si="6"/>
        <v>1082370.6805776032</v>
      </c>
      <c r="J21" s="727">
        <f t="shared" si="7"/>
        <v>1505533.4088136905</v>
      </c>
      <c r="K21" s="727">
        <f t="shared" si="8"/>
        <v>959448.20486588764</v>
      </c>
      <c r="L21" s="727">
        <f t="shared" si="9"/>
        <v>231345.82409596138</v>
      </c>
      <c r="M21" s="727">
        <f t="shared" si="10"/>
        <v>1148437.4231495068</v>
      </c>
      <c r="N21" s="727">
        <f t="shared" si="11"/>
        <v>1006181.8892923903</v>
      </c>
      <c r="O21" s="730">
        <f t="shared" si="12"/>
        <v>15054582.832245693</v>
      </c>
    </row>
    <row r="22" spans="1:20" x14ac:dyDescent="0.2">
      <c r="A22" s="700" t="s">
        <v>292</v>
      </c>
      <c r="B22" s="701">
        <v>6.4580166897572191</v>
      </c>
      <c r="C22" s="727">
        <f t="shared" si="0"/>
        <v>1654211.0164460526</v>
      </c>
      <c r="D22" s="727">
        <f t="shared" si="1"/>
        <v>3703266.5744650275</v>
      </c>
      <c r="E22" s="727">
        <f t="shared" si="2"/>
        <v>2550923.6983856023</v>
      </c>
      <c r="F22" s="727">
        <f t="shared" si="3"/>
        <v>3598777.2115413435</v>
      </c>
      <c r="G22" s="727">
        <f t="shared" si="4"/>
        <v>3493365.1899534478</v>
      </c>
      <c r="H22" s="727">
        <f t="shared" si="5"/>
        <v>4345431.3570317319</v>
      </c>
      <c r="I22" s="727">
        <f t="shared" si="6"/>
        <v>2295681.0549136638</v>
      </c>
      <c r="J22" s="727">
        <f t="shared" si="7"/>
        <v>3193198.5836024075</v>
      </c>
      <c r="K22" s="727">
        <f t="shared" si="8"/>
        <v>2034965.5682710651</v>
      </c>
      <c r="L22" s="727">
        <f t="shared" si="9"/>
        <v>490678.68803233834</v>
      </c>
      <c r="M22" s="727">
        <f t="shared" si="10"/>
        <v>2435806.958177451</v>
      </c>
      <c r="N22" s="727">
        <f t="shared" si="11"/>
        <v>2134086.5403090208</v>
      </c>
      <c r="O22" s="730">
        <f t="shared" si="12"/>
        <v>31930392.441129144</v>
      </c>
    </row>
    <row r="23" spans="1:20" x14ac:dyDescent="0.2">
      <c r="A23" s="700" t="s">
        <v>164</v>
      </c>
      <c r="B23" s="701">
        <v>3.6739352083662298</v>
      </c>
      <c r="C23" s="727">
        <f t="shared" si="0"/>
        <v>941072.83820242272</v>
      </c>
      <c r="D23" s="727">
        <f t="shared" si="1"/>
        <v>2106770.8721583299</v>
      </c>
      <c r="E23" s="727">
        <f t="shared" si="2"/>
        <v>1451208.4498355463</v>
      </c>
      <c r="F23" s="727">
        <f t="shared" si="3"/>
        <v>2047327.3668552311</v>
      </c>
      <c r="G23" s="727">
        <f t="shared" si="4"/>
        <v>1987358.9653936687</v>
      </c>
      <c r="H23" s="727">
        <f t="shared" si="5"/>
        <v>2472095.385485556</v>
      </c>
      <c r="I23" s="727">
        <f t="shared" si="6"/>
        <v>1306002.1148913612</v>
      </c>
      <c r="J23" s="727">
        <f t="shared" si="7"/>
        <v>1816595.6000406521</v>
      </c>
      <c r="K23" s="727">
        <f t="shared" si="8"/>
        <v>1157682.305303104</v>
      </c>
      <c r="L23" s="727">
        <f t="shared" si="9"/>
        <v>279144.78926884406</v>
      </c>
      <c r="M23" s="727">
        <f t="shared" si="10"/>
        <v>1385719.0797641019</v>
      </c>
      <c r="N23" s="727">
        <f t="shared" si="11"/>
        <v>1214071.7583739387</v>
      </c>
      <c r="O23" s="730">
        <f t="shared" si="12"/>
        <v>18165049.525572758</v>
      </c>
    </row>
    <row r="24" spans="1:20" x14ac:dyDescent="0.2">
      <c r="A24" s="700" t="s">
        <v>165</v>
      </c>
      <c r="B24" s="701">
        <v>21.979340072457017</v>
      </c>
      <c r="C24" s="727">
        <f t="shared" si="0"/>
        <v>5629974.0661462164</v>
      </c>
      <c r="D24" s="727">
        <f t="shared" si="1"/>
        <v>12603769.753061719</v>
      </c>
      <c r="E24" s="727">
        <f t="shared" si="2"/>
        <v>8681863.513086509</v>
      </c>
      <c r="F24" s="727">
        <f t="shared" si="3"/>
        <v>12248148.615492258</v>
      </c>
      <c r="G24" s="727">
        <f t="shared" si="4"/>
        <v>11889387.283413284</v>
      </c>
      <c r="H24" s="727">
        <f t="shared" si="5"/>
        <v>14789325.910105288</v>
      </c>
      <c r="I24" s="727">
        <f t="shared" si="6"/>
        <v>7813165.717560444</v>
      </c>
      <c r="J24" s="727">
        <f t="shared" si="7"/>
        <v>10867794.395638807</v>
      </c>
      <c r="K24" s="727">
        <f t="shared" si="8"/>
        <v>6925841.5407489371</v>
      </c>
      <c r="L24" s="727">
        <f t="shared" si="9"/>
        <v>1669985.4256609625</v>
      </c>
      <c r="M24" s="727">
        <f t="shared" si="10"/>
        <v>8290072.9522041464</v>
      </c>
      <c r="N24" s="727">
        <f t="shared" si="11"/>
        <v>7263191.791978565</v>
      </c>
      <c r="O24" s="730">
        <f t="shared" si="12"/>
        <v>108672520.96509716</v>
      </c>
      <c r="T24" s="704"/>
    </row>
    <row r="25" spans="1:20" x14ac:dyDescent="0.2">
      <c r="A25" s="700" t="s">
        <v>166</v>
      </c>
      <c r="B25" s="701">
        <v>3.7144952969630278</v>
      </c>
      <c r="C25" s="727">
        <f t="shared" si="0"/>
        <v>951462.24235048995</v>
      </c>
      <c r="D25" s="727">
        <f t="shared" si="1"/>
        <v>2130029.5330713768</v>
      </c>
      <c r="E25" s="727">
        <f t="shared" si="2"/>
        <v>1467229.7294606511</v>
      </c>
      <c r="F25" s="727">
        <f t="shared" si="3"/>
        <v>2069929.7739954556</v>
      </c>
      <c r="G25" s="727">
        <f t="shared" si="4"/>
        <v>2009299.3239297827</v>
      </c>
      <c r="H25" s="727">
        <f t="shared" si="5"/>
        <v>2499387.21350329</v>
      </c>
      <c r="I25" s="727">
        <f t="shared" si="6"/>
        <v>1320420.3227484224</v>
      </c>
      <c r="J25" s="727">
        <f t="shared" si="7"/>
        <v>1836650.738278914</v>
      </c>
      <c r="K25" s="727">
        <f t="shared" si="8"/>
        <v>1170463.0687643411</v>
      </c>
      <c r="L25" s="727">
        <f t="shared" si="9"/>
        <v>282226.53588165762</v>
      </c>
      <c r="M25" s="727">
        <f t="shared" si="10"/>
        <v>1401017.3595262263</v>
      </c>
      <c r="N25" s="727">
        <f t="shared" si="11"/>
        <v>1227475.0590011196</v>
      </c>
      <c r="O25" s="730">
        <f t="shared" si="12"/>
        <v>18365590.900511727</v>
      </c>
      <c r="T25" s="704"/>
    </row>
    <row r="26" spans="1:20" ht="13.5" thickBot="1" x14ac:dyDescent="0.25">
      <c r="A26" s="700" t="s">
        <v>167</v>
      </c>
      <c r="B26" s="701">
        <v>5.0303764450364916</v>
      </c>
      <c r="C26" s="727">
        <f t="shared" si="0"/>
        <v>1288523.1692646686</v>
      </c>
      <c r="D26" s="727">
        <f t="shared" si="1"/>
        <v>2884604.6457926049</v>
      </c>
      <c r="E26" s="727">
        <f t="shared" si="2"/>
        <v>1987004.2308495045</v>
      </c>
      <c r="F26" s="727">
        <f t="shared" si="3"/>
        <v>2803214.2042284268</v>
      </c>
      <c r="G26" s="727">
        <f t="shared" si="4"/>
        <v>2721105.0713640819</v>
      </c>
      <c r="H26" s="727">
        <f t="shared" si="5"/>
        <v>3384809.3914971203</v>
      </c>
      <c r="I26" s="727">
        <f t="shared" si="6"/>
        <v>1788186.7543436706</v>
      </c>
      <c r="J26" s="727">
        <f t="shared" si="7"/>
        <v>2487294.7393824882</v>
      </c>
      <c r="K26" s="727">
        <f t="shared" si="8"/>
        <v>1585106.2877132171</v>
      </c>
      <c r="L26" s="727">
        <f t="shared" si="9"/>
        <v>382206.89616274065</v>
      </c>
      <c r="M26" s="727">
        <f t="shared" si="10"/>
        <v>1897335.7511611623</v>
      </c>
      <c r="N26" s="727">
        <f t="shared" si="11"/>
        <v>1662315.1007129862</v>
      </c>
      <c r="O26" s="730">
        <f t="shared" si="12"/>
        <v>24871706.242472671</v>
      </c>
      <c r="T26" s="704"/>
    </row>
    <row r="27" spans="1:20" ht="13.5" thickBot="1" x14ac:dyDescent="0.25">
      <c r="A27" s="705" t="s">
        <v>293</v>
      </c>
      <c r="B27" s="747">
        <f>SUM(B7:B26)</f>
        <v>100</v>
      </c>
      <c r="C27" s="735">
        <f>SUM(C7:C26)</f>
        <v>25614845.794216126</v>
      </c>
      <c r="D27" s="735">
        <f t="shared" ref="D27:N27" si="13">SUM(D7:D26)</f>
        <v>57343713.284894705</v>
      </c>
      <c r="E27" s="735">
        <f t="shared" si="13"/>
        <v>39500110.032721221</v>
      </c>
      <c r="F27" s="735">
        <f t="shared" si="13"/>
        <v>55725734.144496836</v>
      </c>
      <c r="G27" s="735">
        <f t="shared" si="13"/>
        <v>54093467.975920886</v>
      </c>
      <c r="H27" s="735">
        <f t="shared" si="13"/>
        <v>67287397.443921641</v>
      </c>
      <c r="I27" s="735">
        <f t="shared" si="13"/>
        <v>35547772.097813621</v>
      </c>
      <c r="J27" s="735">
        <f t="shared" si="13"/>
        <v>49445499.090564474</v>
      </c>
      <c r="K27" s="735">
        <f t="shared" si="13"/>
        <v>31510689.210491456</v>
      </c>
      <c r="L27" s="735">
        <f t="shared" si="13"/>
        <v>7597978.0109670907</v>
      </c>
      <c r="M27" s="735">
        <f t="shared" si="13"/>
        <v>37717569.885515764</v>
      </c>
      <c r="N27" s="735">
        <f t="shared" si="13"/>
        <v>33045540.803476132</v>
      </c>
      <c r="O27" s="735">
        <f>SUM(C27:N27)</f>
        <v>494430317.77499998</v>
      </c>
      <c r="T27" s="704"/>
    </row>
    <row r="28" spans="1:20" x14ac:dyDescent="0.2">
      <c r="A28" s="708"/>
      <c r="B28" s="708"/>
      <c r="C28" s="708"/>
      <c r="D28" s="708"/>
      <c r="E28" s="708"/>
      <c r="F28" s="708"/>
      <c r="G28" s="708"/>
      <c r="H28" s="708"/>
      <c r="I28" s="708"/>
      <c r="J28" s="708"/>
      <c r="K28" s="708"/>
      <c r="L28" s="708"/>
      <c r="M28" s="708"/>
      <c r="N28" s="708"/>
      <c r="O28" s="708"/>
      <c r="T28" s="704"/>
    </row>
    <row r="29" spans="1:20" ht="13.5" thickBot="1" x14ac:dyDescent="0.25">
      <c r="A29" s="709" t="s">
        <v>294</v>
      </c>
    </row>
    <row r="30" spans="1:20" ht="13.5" thickBot="1" x14ac:dyDescent="0.25">
      <c r="A30" s="748" t="s">
        <v>424</v>
      </c>
      <c r="B30" s="749"/>
      <c r="C30" s="735">
        <f>'[4]X22.5 2018ESTATAL'!C13</f>
        <v>105134829.76921614</v>
      </c>
      <c r="D30" s="735">
        <f>'[4]X22.5 2018ESTATAL'!D13</f>
        <v>150749817.50989473</v>
      </c>
      <c r="E30" s="735">
        <f>'[4]X22.5 2018ESTATAL'!E13</f>
        <v>117111466.93272123</v>
      </c>
      <c r="F30" s="735">
        <f>'[4]X22.5 2018ESTATAL'!F13</f>
        <v>141315677.21949685</v>
      </c>
      <c r="G30" s="735">
        <f>'[4]X22.5 2018ESTATAL'!G13</f>
        <v>126574292.30092089</v>
      </c>
      <c r="H30" s="735">
        <f>'[4]X22.5 2018ESTATAL'!H13</f>
        <v>136859024.41892165</v>
      </c>
      <c r="I30" s="735">
        <f>'[4]X22.5 2018ESTATAL'!I13</f>
        <v>122274814.99781363</v>
      </c>
      <c r="J30" s="735">
        <f>'[4]X22.5 2018ESTATAL'!J13</f>
        <v>124109612.04056448</v>
      </c>
      <c r="K30" s="735">
        <f>'[4]X22.5 2018ESTATAL'!K13</f>
        <v>114722701.78549145</v>
      </c>
      <c r="L30" s="735">
        <f>'[4]X22.5 2018ESTATAL'!L13</f>
        <v>103048345.38596709</v>
      </c>
      <c r="M30" s="735">
        <f>'[4]X22.5 2018ESTATAL'!M13</f>
        <v>112357913.83551577</v>
      </c>
      <c r="N30" s="735">
        <f>'[4]X22.5 2018ESTATAL'!N13</f>
        <v>116699837.67847614</v>
      </c>
      <c r="O30" s="750">
        <f>SUM(C30:N30)</f>
        <v>1470958333.8749998</v>
      </c>
    </row>
    <row r="31" spans="1:20" x14ac:dyDescent="0.2">
      <c r="A31" s="751" t="s">
        <v>425</v>
      </c>
      <c r="B31" s="752"/>
      <c r="C31" s="753">
        <f>'F.G.P. ESTIMACIONES 2014'!C27</f>
        <v>79519983.975000009</v>
      </c>
      <c r="D31" s="753">
        <f>'F.G.P. ESTIMACIONES 2014'!D27</f>
        <v>93406104.225000024</v>
      </c>
      <c r="E31" s="753">
        <f>'F.G.P. ESTIMACIONES 2014'!E27</f>
        <v>77611356.900000006</v>
      </c>
      <c r="F31" s="753">
        <f>'F.G.P. ESTIMACIONES 2014'!F27</f>
        <v>85589943.075000003</v>
      </c>
      <c r="G31" s="753">
        <f>'F.G.P. ESTIMACIONES 2014'!G27</f>
        <v>72480824.325000003</v>
      </c>
      <c r="H31" s="753">
        <f>'F.G.P. ESTIMACIONES 2014'!H27</f>
        <v>69571626.975000009</v>
      </c>
      <c r="I31" s="753">
        <f>'F.G.P. ESTIMACIONES 2014'!I27</f>
        <v>86727042.900000006</v>
      </c>
      <c r="J31" s="753">
        <f>'F.G.P. ESTIMACIONES 2014'!J27</f>
        <v>74664112.950000003</v>
      </c>
      <c r="K31" s="753">
        <f>'F.G.P. ESTIMACIONES 2014'!K27</f>
        <v>83212012.575000003</v>
      </c>
      <c r="L31" s="753">
        <f>'F.G.P. ESTIMACIONES 2014'!L27</f>
        <v>95450367.375</v>
      </c>
      <c r="M31" s="753">
        <f>'F.G.P. ESTIMACIONES 2014'!M27</f>
        <v>74640343.950000003</v>
      </c>
      <c r="N31" s="753">
        <f>'F.G.P. ESTIMACIONES 2014'!N27</f>
        <v>83654296.875</v>
      </c>
      <c r="O31" s="754">
        <f>SUM(C31:N31)</f>
        <v>976528016.10000026</v>
      </c>
    </row>
    <row r="32" spans="1:20" ht="13.5" thickBot="1" x14ac:dyDescent="0.25">
      <c r="A32" s="755" t="s">
        <v>409</v>
      </c>
      <c r="B32" s="756"/>
      <c r="C32" s="757">
        <f>C30-C31</f>
        <v>25614845.794216126</v>
      </c>
      <c r="D32" s="757">
        <f t="shared" ref="D32:N32" si="14">D30-D31</f>
        <v>57343713.284894705</v>
      </c>
      <c r="E32" s="757">
        <f t="shared" si="14"/>
        <v>39500110.032721221</v>
      </c>
      <c r="F32" s="757">
        <f t="shared" si="14"/>
        <v>55725734.144496843</v>
      </c>
      <c r="G32" s="757">
        <f t="shared" si="14"/>
        <v>54093467.975920886</v>
      </c>
      <c r="H32" s="757">
        <f t="shared" si="14"/>
        <v>67287397.443921641</v>
      </c>
      <c r="I32" s="757">
        <f t="shared" si="14"/>
        <v>35547772.097813621</v>
      </c>
      <c r="J32" s="757">
        <f t="shared" si="14"/>
        <v>49445499.090564474</v>
      </c>
      <c r="K32" s="757">
        <f t="shared" si="14"/>
        <v>31510689.210491449</v>
      </c>
      <c r="L32" s="757">
        <f t="shared" si="14"/>
        <v>7597978.0109670907</v>
      </c>
      <c r="M32" s="757">
        <f t="shared" si="14"/>
        <v>37717569.885515764</v>
      </c>
      <c r="N32" s="757">
        <f t="shared" si="14"/>
        <v>33045540.80347614</v>
      </c>
      <c r="O32" s="758">
        <f>O30-O31</f>
        <v>494430317.7749995</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9" tint="0.39997558519241921"/>
  </sheetPr>
  <dimension ref="A1:T29"/>
  <sheetViews>
    <sheetView workbookViewId="0">
      <selection activeCell="G38" sqref="G38"/>
    </sheetView>
  </sheetViews>
  <sheetFormatPr baseColWidth="10" defaultRowHeight="12.75" x14ac:dyDescent="0.2"/>
  <cols>
    <col min="1" max="1" width="16.42578125" style="695" bestFit="1" customWidth="1"/>
    <col min="2" max="2" width="9.140625" style="695" bestFit="1" customWidth="1"/>
    <col min="3" max="3" width="10.85546875" style="695" bestFit="1" customWidth="1"/>
    <col min="4" max="4" width="11.7109375" style="695" bestFit="1" customWidth="1"/>
    <col min="5" max="10" width="10.85546875" style="695" bestFit="1" customWidth="1"/>
    <col min="11" max="11" width="11.5703125" style="695" customWidth="1"/>
    <col min="12" max="12" width="11.28515625" style="695" customWidth="1"/>
    <col min="13" max="14" width="10.85546875" style="695" bestFit="1" customWidth="1"/>
    <col min="15" max="15" width="11.7109375" style="695" bestFit="1" customWidth="1"/>
    <col min="16" max="19" width="11.42578125" style="695"/>
    <col min="20" max="20" width="11.7109375" style="695" bestFit="1" customWidth="1"/>
    <col min="21" max="16384" width="11.42578125" style="695"/>
  </cols>
  <sheetData>
    <row r="1" spans="1:15" ht="15.75" x14ac:dyDescent="0.25">
      <c r="A1" s="959" t="s">
        <v>282</v>
      </c>
      <c r="B1" s="959"/>
      <c r="C1" s="959"/>
      <c r="D1" s="959"/>
      <c r="E1" s="959"/>
      <c r="F1" s="959"/>
      <c r="G1" s="959"/>
      <c r="H1" s="959"/>
      <c r="I1" s="959"/>
      <c r="J1" s="959"/>
      <c r="K1" s="959"/>
      <c r="L1" s="959"/>
      <c r="M1" s="959"/>
      <c r="N1" s="959"/>
      <c r="O1" s="959"/>
    </row>
    <row r="2" spans="1:15" x14ac:dyDescent="0.2">
      <c r="A2" s="960" t="s">
        <v>283</v>
      </c>
      <c r="B2" s="960"/>
      <c r="C2" s="960"/>
      <c r="D2" s="960"/>
      <c r="E2" s="960"/>
      <c r="F2" s="960"/>
      <c r="G2" s="960"/>
      <c r="H2" s="960"/>
      <c r="I2" s="960"/>
      <c r="J2" s="960"/>
      <c r="K2" s="960"/>
      <c r="L2" s="960"/>
      <c r="M2" s="960"/>
      <c r="N2" s="960"/>
      <c r="O2" s="960"/>
    </row>
    <row r="3" spans="1:15" x14ac:dyDescent="0.2">
      <c r="A3" s="960" t="s">
        <v>284</v>
      </c>
      <c r="B3" s="960"/>
      <c r="C3" s="960"/>
      <c r="D3" s="960"/>
      <c r="E3" s="960"/>
      <c r="F3" s="960"/>
      <c r="G3" s="960"/>
      <c r="H3" s="960"/>
      <c r="I3" s="960"/>
      <c r="J3" s="960"/>
      <c r="K3" s="960"/>
      <c r="L3" s="960"/>
      <c r="M3" s="960"/>
      <c r="N3" s="960"/>
      <c r="O3" s="960"/>
    </row>
    <row r="4" spans="1:15" x14ac:dyDescent="0.2">
      <c r="A4" s="958" t="s">
        <v>426</v>
      </c>
      <c r="B4" s="958"/>
      <c r="C4" s="958"/>
      <c r="D4" s="958"/>
      <c r="E4" s="958"/>
      <c r="F4" s="958"/>
      <c r="G4" s="958"/>
      <c r="H4" s="958"/>
      <c r="I4" s="958"/>
      <c r="J4" s="958"/>
      <c r="K4" s="958"/>
      <c r="L4" s="958"/>
      <c r="M4" s="958"/>
      <c r="N4" s="958"/>
      <c r="O4" s="958"/>
    </row>
    <row r="5" spans="1:15" ht="13.5" thickBot="1" x14ac:dyDescent="0.25"/>
    <row r="6" spans="1:15" ht="23.25" thickBot="1" x14ac:dyDescent="0.25">
      <c r="A6" s="722" t="s">
        <v>410</v>
      </c>
      <c r="B6" s="723" t="s">
        <v>286</v>
      </c>
      <c r="C6" s="722" t="s">
        <v>1</v>
      </c>
      <c r="D6" s="724" t="s">
        <v>2</v>
      </c>
      <c r="E6" s="722" t="s">
        <v>3</v>
      </c>
      <c r="F6" s="724" t="s">
        <v>4</v>
      </c>
      <c r="G6" s="722" t="s">
        <v>5</v>
      </c>
      <c r="H6" s="722" t="s">
        <v>6</v>
      </c>
      <c r="I6" s="722" t="s">
        <v>7</v>
      </c>
      <c r="J6" s="724" t="s">
        <v>8</v>
      </c>
      <c r="K6" s="722" t="s">
        <v>9</v>
      </c>
      <c r="L6" s="724" t="s">
        <v>10</v>
      </c>
      <c r="M6" s="722" t="s">
        <v>11</v>
      </c>
      <c r="N6" s="722" t="s">
        <v>12</v>
      </c>
      <c r="O6" s="725" t="s">
        <v>170</v>
      </c>
    </row>
    <row r="7" spans="1:15" x14ac:dyDescent="0.2">
      <c r="A7" s="700" t="s">
        <v>287</v>
      </c>
      <c r="B7" s="720">
        <v>3.6200000000000003E-2</v>
      </c>
      <c r="C7" s="727">
        <v>2878623.4198950008</v>
      </c>
      <c r="D7" s="728">
        <v>3381300.9729450005</v>
      </c>
      <c r="E7" s="727">
        <v>2809531.1197800003</v>
      </c>
      <c r="F7" s="728">
        <v>3098355.9393150005</v>
      </c>
      <c r="G7" s="727">
        <v>2623805.8405650002</v>
      </c>
      <c r="H7" s="727">
        <v>2518492.8964950005</v>
      </c>
      <c r="I7" s="729">
        <v>3139518.9529800005</v>
      </c>
      <c r="J7" s="728">
        <v>2702840.8887900002</v>
      </c>
      <c r="K7" s="727">
        <v>3012274.8552150005</v>
      </c>
      <c r="L7" s="728">
        <v>3455303.2989750002</v>
      </c>
      <c r="M7" s="727">
        <v>2701980.4509900003</v>
      </c>
      <c r="N7" s="727">
        <v>3028285.5468750005</v>
      </c>
      <c r="O7" s="730">
        <f>SUM(C7:N7)</f>
        <v>35350314.182820007</v>
      </c>
    </row>
    <row r="8" spans="1:15" x14ac:dyDescent="0.2">
      <c r="A8" s="700" t="s">
        <v>149</v>
      </c>
      <c r="B8" s="720">
        <v>2.47E-2</v>
      </c>
      <c r="C8" s="727">
        <v>1964143.6041825002</v>
      </c>
      <c r="D8" s="728">
        <v>2307130.7743575</v>
      </c>
      <c r="E8" s="727">
        <v>1917000.5154300001</v>
      </c>
      <c r="F8" s="728">
        <v>2114071.5939525003</v>
      </c>
      <c r="G8" s="727">
        <v>1790276.3608275</v>
      </c>
      <c r="H8" s="727">
        <v>1718419.1862825002</v>
      </c>
      <c r="I8" s="727">
        <v>2142157.9596299999</v>
      </c>
      <c r="J8" s="728">
        <v>1844203.589865</v>
      </c>
      <c r="K8" s="727">
        <v>2055336.7106025</v>
      </c>
      <c r="L8" s="728">
        <v>2357624.0741625</v>
      </c>
      <c r="M8" s="727">
        <v>1843616.495565</v>
      </c>
      <c r="N8" s="727">
        <v>2066261.1328125</v>
      </c>
      <c r="O8" s="730">
        <f t="shared" ref="O8:O26" si="0">SUM(C8:N8)</f>
        <v>24120241.997669999</v>
      </c>
    </row>
    <row r="9" spans="1:15" x14ac:dyDescent="0.2">
      <c r="A9" s="700" t="s">
        <v>150</v>
      </c>
      <c r="B9" s="720">
        <v>2.3300000000000001E-2</v>
      </c>
      <c r="C9" s="727">
        <v>1852815.6266175003</v>
      </c>
      <c r="D9" s="728">
        <v>2176362.2284425003</v>
      </c>
      <c r="E9" s="727">
        <v>1808344.6157700003</v>
      </c>
      <c r="F9" s="728">
        <v>1994245.6736475001</v>
      </c>
      <c r="G9" s="727">
        <v>1688803.2067725002</v>
      </c>
      <c r="H9" s="727">
        <v>1621018.9085175004</v>
      </c>
      <c r="I9" s="727">
        <v>2020740.0995700003</v>
      </c>
      <c r="J9" s="728">
        <v>1739673.8317350002</v>
      </c>
      <c r="K9" s="727">
        <v>1938839.8929975003</v>
      </c>
      <c r="L9" s="728">
        <v>2223993.5598375001</v>
      </c>
      <c r="M9" s="727">
        <v>1739120.0140350002</v>
      </c>
      <c r="N9" s="727">
        <v>1949145.1171875</v>
      </c>
      <c r="O9" s="730">
        <f t="shared" si="0"/>
        <v>22753102.775130007</v>
      </c>
    </row>
    <row r="10" spans="1:15" x14ac:dyDescent="0.2">
      <c r="A10" s="700" t="s">
        <v>288</v>
      </c>
      <c r="B10" s="720">
        <v>2.81E-2</v>
      </c>
      <c r="C10" s="727">
        <v>2234511.5496975002</v>
      </c>
      <c r="D10" s="728">
        <v>2624711.5287225004</v>
      </c>
      <c r="E10" s="727">
        <v>2180879.1288900003</v>
      </c>
      <c r="F10" s="728">
        <v>2405077.4004075001</v>
      </c>
      <c r="G10" s="727">
        <v>2036711.1635325002</v>
      </c>
      <c r="H10" s="727">
        <v>1954962.7179975002</v>
      </c>
      <c r="I10" s="727">
        <v>2437029.9054900003</v>
      </c>
      <c r="J10" s="728">
        <v>2098061.5738949999</v>
      </c>
      <c r="K10" s="727">
        <v>2338257.5533575001</v>
      </c>
      <c r="L10" s="728">
        <v>2682155.3232375002</v>
      </c>
      <c r="M10" s="727">
        <v>2097393.6649950002</v>
      </c>
      <c r="N10" s="727">
        <v>2350685.7421875</v>
      </c>
      <c r="O10" s="730">
        <f t="shared" si="0"/>
        <v>27440437.252410006</v>
      </c>
    </row>
    <row r="11" spans="1:15" x14ac:dyDescent="0.2">
      <c r="A11" s="700" t="s">
        <v>152</v>
      </c>
      <c r="B11" s="720">
        <v>4.6399999999999997E-2</v>
      </c>
      <c r="C11" s="727">
        <v>3689727.2564400001</v>
      </c>
      <c r="D11" s="728">
        <v>4334043.2360399999</v>
      </c>
      <c r="E11" s="727">
        <v>3601166.9601600002</v>
      </c>
      <c r="F11" s="728">
        <v>3971373.3586800001</v>
      </c>
      <c r="G11" s="727">
        <v>3363110.2486799997</v>
      </c>
      <c r="H11" s="727">
        <v>3228123.4916400001</v>
      </c>
      <c r="I11" s="727">
        <v>4024134.7905600001</v>
      </c>
      <c r="J11" s="728">
        <v>3464414.84088</v>
      </c>
      <c r="K11" s="727">
        <v>3861037.3834799998</v>
      </c>
      <c r="L11" s="728">
        <v>4428897.0461999997</v>
      </c>
      <c r="M11" s="727">
        <v>3463311.9592800001</v>
      </c>
      <c r="N11" s="727">
        <v>3881559.3749999995</v>
      </c>
      <c r="O11" s="730">
        <f t="shared" si="0"/>
        <v>45310899.947040007</v>
      </c>
    </row>
    <row r="12" spans="1:15" x14ac:dyDescent="0.2">
      <c r="A12" s="700" t="s">
        <v>289</v>
      </c>
      <c r="B12" s="720">
        <v>1.4999999999999999E-2</v>
      </c>
      <c r="C12" s="727">
        <v>1192799.7596250002</v>
      </c>
      <c r="D12" s="728">
        <v>1401091.5633750001</v>
      </c>
      <c r="E12" s="727">
        <v>1164170.3535</v>
      </c>
      <c r="F12" s="728">
        <v>1283849.146125</v>
      </c>
      <c r="G12" s="727">
        <v>1087212.364875</v>
      </c>
      <c r="H12" s="727">
        <v>1043574.4046250001</v>
      </c>
      <c r="I12" s="727">
        <v>1300905.6435</v>
      </c>
      <c r="J12" s="728">
        <v>1119961.6942499999</v>
      </c>
      <c r="K12" s="727">
        <v>1248180.188625</v>
      </c>
      <c r="L12" s="728">
        <v>1431755.5106249999</v>
      </c>
      <c r="M12" s="727">
        <v>1119605.15925</v>
      </c>
      <c r="N12" s="727">
        <v>1254814.453125</v>
      </c>
      <c r="O12" s="730">
        <f t="shared" si="0"/>
        <v>14647920.241500001</v>
      </c>
    </row>
    <row r="13" spans="1:15" x14ac:dyDescent="0.2">
      <c r="A13" s="700" t="s">
        <v>154</v>
      </c>
      <c r="B13" s="720">
        <v>1.5299999999999999E-2</v>
      </c>
      <c r="C13" s="727">
        <v>1216655.7548175</v>
      </c>
      <c r="D13" s="728">
        <v>1429113.3946425</v>
      </c>
      <c r="E13" s="727">
        <v>1187453.7605699999</v>
      </c>
      <c r="F13" s="728">
        <v>1309526.1290475</v>
      </c>
      <c r="G13" s="727">
        <v>1108956.6121725</v>
      </c>
      <c r="H13" s="727">
        <v>1064445.8927175</v>
      </c>
      <c r="I13" s="727">
        <v>1326923.7563700001</v>
      </c>
      <c r="J13" s="728">
        <v>1142360.9281349999</v>
      </c>
      <c r="K13" s="727">
        <v>1273143.7923975</v>
      </c>
      <c r="L13" s="728">
        <v>1460390.6208374999</v>
      </c>
      <c r="M13" s="727">
        <v>1141997.2624349999</v>
      </c>
      <c r="N13" s="727">
        <v>1279910.7421875</v>
      </c>
      <c r="O13" s="730">
        <f t="shared" si="0"/>
        <v>14940878.646330001</v>
      </c>
    </row>
    <row r="14" spans="1:15" x14ac:dyDescent="0.2">
      <c r="A14" s="700" t="s">
        <v>155</v>
      </c>
      <c r="B14" s="720">
        <v>3.1600000000000003E-2</v>
      </c>
      <c r="C14" s="727">
        <v>2512831.4936100007</v>
      </c>
      <c r="D14" s="728">
        <v>2951632.8935100008</v>
      </c>
      <c r="E14" s="727">
        <v>2452518.8780400003</v>
      </c>
      <c r="F14" s="728">
        <v>2704642.2011700002</v>
      </c>
      <c r="G14" s="727">
        <v>2290394.0486700004</v>
      </c>
      <c r="H14" s="727">
        <v>2198463.4124100003</v>
      </c>
      <c r="I14" s="727">
        <v>2740574.5556400004</v>
      </c>
      <c r="J14" s="728">
        <v>2359385.9692200003</v>
      </c>
      <c r="K14" s="727">
        <v>2629499.5973700006</v>
      </c>
      <c r="L14" s="728">
        <v>3016231.6090500001</v>
      </c>
      <c r="M14" s="727">
        <v>2358634.8688200004</v>
      </c>
      <c r="N14" s="727">
        <v>2643475.7812500005</v>
      </c>
      <c r="O14" s="730">
        <f t="shared" si="0"/>
        <v>30858285.308760006</v>
      </c>
    </row>
    <row r="15" spans="1:15" x14ac:dyDescent="0.2">
      <c r="A15" s="700" t="s">
        <v>156</v>
      </c>
      <c r="B15" s="720">
        <v>2.81E-2</v>
      </c>
      <c r="C15" s="727">
        <v>2234511.5496975002</v>
      </c>
      <c r="D15" s="728">
        <v>2624711.5287225004</v>
      </c>
      <c r="E15" s="727">
        <v>2180879.1288900003</v>
      </c>
      <c r="F15" s="728">
        <v>2405077.4004075001</v>
      </c>
      <c r="G15" s="727">
        <v>2036711.1635325002</v>
      </c>
      <c r="H15" s="727">
        <v>1954962.7179975002</v>
      </c>
      <c r="I15" s="727">
        <v>2437029.9054900003</v>
      </c>
      <c r="J15" s="728">
        <v>2098061.5738949999</v>
      </c>
      <c r="K15" s="727">
        <v>2338257.5533575001</v>
      </c>
      <c r="L15" s="728">
        <v>2682155.3232375002</v>
      </c>
      <c r="M15" s="727">
        <v>2097393.6649950002</v>
      </c>
      <c r="N15" s="727">
        <v>2350685.7421875</v>
      </c>
      <c r="O15" s="730">
        <f t="shared" si="0"/>
        <v>27440437.252410006</v>
      </c>
    </row>
    <row r="16" spans="1:15" x14ac:dyDescent="0.2">
      <c r="A16" s="700" t="s">
        <v>157</v>
      </c>
      <c r="B16" s="720">
        <v>1.6E-2</v>
      </c>
      <c r="C16" s="727">
        <v>1272319.7436000002</v>
      </c>
      <c r="D16" s="728">
        <v>1494497.6676000003</v>
      </c>
      <c r="E16" s="727">
        <v>1241781.7104000002</v>
      </c>
      <c r="F16" s="728">
        <v>1369439.0892</v>
      </c>
      <c r="G16" s="727">
        <v>1159693.1892000001</v>
      </c>
      <c r="H16" s="727">
        <v>1113146.0316000001</v>
      </c>
      <c r="I16" s="727">
        <v>1387632.6864000002</v>
      </c>
      <c r="J16" s="728">
        <v>1194625.8072000002</v>
      </c>
      <c r="K16" s="727">
        <v>1331392.2012</v>
      </c>
      <c r="L16" s="728">
        <v>1527205.878</v>
      </c>
      <c r="M16" s="727">
        <v>1194245.5032000002</v>
      </c>
      <c r="N16" s="727">
        <v>1338468.75</v>
      </c>
      <c r="O16" s="730">
        <f t="shared" si="0"/>
        <v>15624448.257600002</v>
      </c>
    </row>
    <row r="17" spans="1:20" x14ac:dyDescent="0.2">
      <c r="A17" s="700" t="s">
        <v>158</v>
      </c>
      <c r="B17" s="720">
        <v>2.8400000000000002E-2</v>
      </c>
      <c r="C17" s="727">
        <v>2258367.5448900005</v>
      </c>
      <c r="D17" s="728">
        <v>2652733.3599900003</v>
      </c>
      <c r="E17" s="727">
        <v>2204162.5359600005</v>
      </c>
      <c r="F17" s="728">
        <v>2430754.3833300001</v>
      </c>
      <c r="G17" s="727">
        <v>2058455.4108300002</v>
      </c>
      <c r="H17" s="727">
        <v>1975834.2060900005</v>
      </c>
      <c r="I17" s="727">
        <v>2463048.0183600001</v>
      </c>
      <c r="J17" s="728">
        <v>2120460.8077800004</v>
      </c>
      <c r="K17" s="727">
        <v>2363221.1571300002</v>
      </c>
      <c r="L17" s="728">
        <v>2710790.4334500004</v>
      </c>
      <c r="M17" s="727">
        <v>2119785.7681800001</v>
      </c>
      <c r="N17" s="727">
        <v>2375782.03125</v>
      </c>
      <c r="O17" s="730">
        <f t="shared" si="0"/>
        <v>27733395.657240007</v>
      </c>
    </row>
    <row r="18" spans="1:20" x14ac:dyDescent="0.2">
      <c r="A18" s="700" t="s">
        <v>159</v>
      </c>
      <c r="B18" s="720">
        <v>3.3300000000000003E-2</v>
      </c>
      <c r="C18" s="727">
        <v>2648015.4663675004</v>
      </c>
      <c r="D18" s="728">
        <v>3110423.2706925008</v>
      </c>
      <c r="E18" s="727">
        <v>2584458.1847700006</v>
      </c>
      <c r="F18" s="728">
        <v>2850145.1043975004</v>
      </c>
      <c r="G18" s="727">
        <v>2413611.4500225005</v>
      </c>
      <c r="H18" s="727">
        <v>2316735.1782675004</v>
      </c>
      <c r="I18" s="727">
        <v>2888010.5285700005</v>
      </c>
      <c r="J18" s="728">
        <v>2486314.9612350003</v>
      </c>
      <c r="K18" s="727">
        <v>2770960.0187475001</v>
      </c>
      <c r="L18" s="728">
        <v>3178497.2335875002</v>
      </c>
      <c r="M18" s="727">
        <v>2485523.4535350003</v>
      </c>
      <c r="N18" s="727">
        <v>2785688.0859375005</v>
      </c>
      <c r="O18" s="730">
        <f t="shared" si="0"/>
        <v>32518382.936130006</v>
      </c>
    </row>
    <row r="19" spans="1:20" x14ac:dyDescent="0.2">
      <c r="A19" s="700" t="s">
        <v>160</v>
      </c>
      <c r="B19" s="720">
        <v>4.6899999999999997E-2</v>
      </c>
      <c r="C19" s="727">
        <v>3729487.2484275</v>
      </c>
      <c r="D19" s="728">
        <v>4380746.2881525001</v>
      </c>
      <c r="E19" s="727">
        <v>3639972.6386100003</v>
      </c>
      <c r="F19" s="728">
        <v>4014168.3302174998</v>
      </c>
      <c r="G19" s="727">
        <v>3399350.6608425002</v>
      </c>
      <c r="H19" s="727">
        <v>3262909.3051275001</v>
      </c>
      <c r="I19" s="727">
        <v>4067498.31201</v>
      </c>
      <c r="J19" s="728">
        <v>3501746.897355</v>
      </c>
      <c r="K19" s="727">
        <v>3902643.3897675001</v>
      </c>
      <c r="L19" s="728">
        <v>4476622.2298874995</v>
      </c>
      <c r="M19" s="727">
        <v>3500632.1312549999</v>
      </c>
      <c r="N19" s="727">
        <v>3923386.5234375</v>
      </c>
      <c r="O19" s="730">
        <f t="shared" si="0"/>
        <v>45799163.955090001</v>
      </c>
    </row>
    <row r="20" spans="1:20" x14ac:dyDescent="0.2">
      <c r="A20" s="700" t="s">
        <v>290</v>
      </c>
      <c r="B20" s="720">
        <v>2.1299999999999999E-2</v>
      </c>
      <c r="C20" s="727">
        <v>1693775.6586675001</v>
      </c>
      <c r="D20" s="728">
        <v>1989550.0199925001</v>
      </c>
      <c r="E20" s="727">
        <v>1653121.90197</v>
      </c>
      <c r="F20" s="728">
        <v>1823065.7874975</v>
      </c>
      <c r="G20" s="727">
        <v>1543841.5581225001</v>
      </c>
      <c r="H20" s="727">
        <v>1481875.6545675001</v>
      </c>
      <c r="I20" s="727">
        <v>1847286.0137700001</v>
      </c>
      <c r="J20" s="728">
        <v>1590345.6058350001</v>
      </c>
      <c r="K20" s="727">
        <v>1772415.8678475001</v>
      </c>
      <c r="L20" s="728">
        <v>2033092.8250875</v>
      </c>
      <c r="M20" s="727">
        <v>1589839.326135</v>
      </c>
      <c r="N20" s="727">
        <v>1781836.5234375</v>
      </c>
      <c r="O20" s="730">
        <f t="shared" si="0"/>
        <v>20800046.742929999</v>
      </c>
    </row>
    <row r="21" spans="1:20" x14ac:dyDescent="0.2">
      <c r="A21" s="700" t="s">
        <v>291</v>
      </c>
      <c r="B21" s="720">
        <v>2.81E-2</v>
      </c>
      <c r="C21" s="727">
        <v>2234511.5496975002</v>
      </c>
      <c r="D21" s="728">
        <v>2624711.5287225004</v>
      </c>
      <c r="E21" s="727">
        <v>2180879.1288900003</v>
      </c>
      <c r="F21" s="728">
        <v>2405077.4004075001</v>
      </c>
      <c r="G21" s="727">
        <v>2036711.1635325002</v>
      </c>
      <c r="H21" s="727">
        <v>1954962.7179975002</v>
      </c>
      <c r="I21" s="727">
        <v>2437029.9054900003</v>
      </c>
      <c r="J21" s="728">
        <v>2098061.5738949999</v>
      </c>
      <c r="K21" s="727">
        <v>2338257.5533575001</v>
      </c>
      <c r="L21" s="728">
        <v>2682155.3232375002</v>
      </c>
      <c r="M21" s="727">
        <v>2097393.6649950002</v>
      </c>
      <c r="N21" s="727">
        <v>2350685.7421875</v>
      </c>
      <c r="O21" s="730">
        <f t="shared" si="0"/>
        <v>27440437.252410006</v>
      </c>
    </row>
    <row r="22" spans="1:20" x14ac:dyDescent="0.2">
      <c r="A22" s="700" t="s">
        <v>292</v>
      </c>
      <c r="B22" s="720">
        <v>8.3400000000000002E-2</v>
      </c>
      <c r="C22" s="727">
        <v>6631966.6635150006</v>
      </c>
      <c r="D22" s="728">
        <v>7790069.0923650013</v>
      </c>
      <c r="E22" s="727">
        <v>6472787.1654600007</v>
      </c>
      <c r="F22" s="728">
        <v>7138201.2524550008</v>
      </c>
      <c r="G22" s="727">
        <v>6044900.7487050006</v>
      </c>
      <c r="H22" s="727">
        <v>5802273.6897150008</v>
      </c>
      <c r="I22" s="727">
        <v>7233035.3778600004</v>
      </c>
      <c r="J22" s="728">
        <v>6226987.0200300002</v>
      </c>
      <c r="K22" s="727">
        <v>6939881.8487550002</v>
      </c>
      <c r="L22" s="728">
        <v>7960560.6390749998</v>
      </c>
      <c r="M22" s="727">
        <v>6225004.6854300005</v>
      </c>
      <c r="N22" s="727">
        <v>6976768.359375</v>
      </c>
      <c r="O22" s="730">
        <f t="shared" si="0"/>
        <v>81442436.542740017</v>
      </c>
    </row>
    <row r="23" spans="1:20" x14ac:dyDescent="0.2">
      <c r="A23" s="700" t="s">
        <v>164</v>
      </c>
      <c r="B23" s="720">
        <v>3.5000000000000003E-2</v>
      </c>
      <c r="C23" s="727">
        <v>2783199.4391250005</v>
      </c>
      <c r="D23" s="728">
        <v>3269213.6478750007</v>
      </c>
      <c r="E23" s="727">
        <v>2716397.4915000005</v>
      </c>
      <c r="F23" s="728">
        <v>2995648.0076250006</v>
      </c>
      <c r="G23" s="727">
        <v>2536828.8513750006</v>
      </c>
      <c r="H23" s="727">
        <v>2435006.9441250004</v>
      </c>
      <c r="I23" s="727">
        <v>3035446.5015000007</v>
      </c>
      <c r="J23" s="728">
        <v>2613243.9532500003</v>
      </c>
      <c r="K23" s="727">
        <v>2912420.4401250002</v>
      </c>
      <c r="L23" s="728">
        <v>3340762.8581250003</v>
      </c>
      <c r="M23" s="727">
        <v>2612412.0382500002</v>
      </c>
      <c r="N23" s="727">
        <v>2927900.3906250005</v>
      </c>
      <c r="O23" s="730">
        <f t="shared" si="0"/>
        <v>34178480.563500009</v>
      </c>
    </row>
    <row r="24" spans="1:20" x14ac:dyDescent="0.2">
      <c r="A24" s="700" t="s">
        <v>165</v>
      </c>
      <c r="B24" s="720">
        <v>0.39</v>
      </c>
      <c r="C24" s="727">
        <v>31012793.750250004</v>
      </c>
      <c r="D24" s="728">
        <v>36428380.647750005</v>
      </c>
      <c r="E24" s="727">
        <v>30268429.191000003</v>
      </c>
      <c r="F24" s="728">
        <v>33380077.799250003</v>
      </c>
      <c r="G24" s="727">
        <v>28267521.486750003</v>
      </c>
      <c r="H24" s="727">
        <v>27132934.520250004</v>
      </c>
      <c r="I24" s="727">
        <v>33823546.731000006</v>
      </c>
      <c r="J24" s="728">
        <v>29119004.050500002</v>
      </c>
      <c r="K24" s="727">
        <v>32452684.904250003</v>
      </c>
      <c r="L24" s="728">
        <v>37225643.276250005</v>
      </c>
      <c r="M24" s="727">
        <v>29109734.140500002</v>
      </c>
      <c r="N24" s="727">
        <v>32625175.78125</v>
      </c>
      <c r="O24" s="730">
        <f t="shared" si="0"/>
        <v>380845926.27900004</v>
      </c>
      <c r="T24" s="704"/>
    </row>
    <row r="25" spans="1:20" x14ac:dyDescent="0.2">
      <c r="A25" s="700" t="s">
        <v>166</v>
      </c>
      <c r="B25" s="720">
        <v>3.7900000000000003E-2</v>
      </c>
      <c r="C25" s="727">
        <v>3013807.3926525004</v>
      </c>
      <c r="D25" s="728">
        <v>3540091.3501275005</v>
      </c>
      <c r="E25" s="727">
        <v>2941470.4265100006</v>
      </c>
      <c r="F25" s="728">
        <v>3243858.8425425002</v>
      </c>
      <c r="G25" s="727">
        <v>2747023.2419175003</v>
      </c>
      <c r="H25" s="727">
        <v>2636764.6623525005</v>
      </c>
      <c r="I25" s="727">
        <v>3286954.9259100007</v>
      </c>
      <c r="J25" s="728">
        <v>2829769.8808050002</v>
      </c>
      <c r="K25" s="727">
        <v>3153735.2765925005</v>
      </c>
      <c r="L25" s="728">
        <v>3617568.9235125002</v>
      </c>
      <c r="M25" s="727">
        <v>2828869.0357050002</v>
      </c>
      <c r="N25" s="727">
        <v>3170497.8515625005</v>
      </c>
      <c r="O25" s="730">
        <f t="shared" si="0"/>
        <v>37010411.810190007</v>
      </c>
      <c r="T25" s="704"/>
    </row>
    <row r="26" spans="1:20" ht="13.5" thickBot="1" x14ac:dyDescent="0.25">
      <c r="A26" s="700" t="s">
        <v>167</v>
      </c>
      <c r="B26" s="720">
        <v>3.1E-2</v>
      </c>
      <c r="C26" s="727">
        <v>2465119.5032250001</v>
      </c>
      <c r="D26" s="728">
        <v>2895589.2309750002</v>
      </c>
      <c r="E26" s="727">
        <v>2405952.0639</v>
      </c>
      <c r="F26" s="728">
        <v>2653288.2353250002</v>
      </c>
      <c r="G26" s="727">
        <v>2246905.5540749999</v>
      </c>
      <c r="H26" s="727">
        <v>2156720.4362250003</v>
      </c>
      <c r="I26" s="733">
        <v>2688538.3299000002</v>
      </c>
      <c r="J26" s="728">
        <v>2314587.5014499999</v>
      </c>
      <c r="K26" s="727">
        <v>2579572.389825</v>
      </c>
      <c r="L26" s="728">
        <v>2958961.3886250001</v>
      </c>
      <c r="M26" s="727">
        <v>2313850.6624500002</v>
      </c>
      <c r="N26" s="727">
        <v>2593283.203125</v>
      </c>
      <c r="O26" s="730">
        <f t="shared" si="0"/>
        <v>30272368.4991</v>
      </c>
      <c r="T26" s="704"/>
    </row>
    <row r="27" spans="1:20" ht="13.5" thickBot="1" x14ac:dyDescent="0.25">
      <c r="A27" s="705" t="s">
        <v>293</v>
      </c>
      <c r="B27" s="721">
        <f>SUM(B7:B26)</f>
        <v>1</v>
      </c>
      <c r="C27" s="735">
        <f>SUM(C7:C26)</f>
        <v>79519983.975000009</v>
      </c>
      <c r="D27" s="735">
        <f t="shared" ref="D27:N27" si="1">SUM(D7:D26)</f>
        <v>93406104.225000024</v>
      </c>
      <c r="E27" s="735">
        <f t="shared" si="1"/>
        <v>77611356.900000006</v>
      </c>
      <c r="F27" s="735">
        <f t="shared" si="1"/>
        <v>85589943.075000003</v>
      </c>
      <c r="G27" s="735">
        <f t="shared" si="1"/>
        <v>72480824.325000003</v>
      </c>
      <c r="H27" s="735">
        <f t="shared" si="1"/>
        <v>69571626.975000009</v>
      </c>
      <c r="I27" s="735">
        <f t="shared" si="1"/>
        <v>86727042.900000006</v>
      </c>
      <c r="J27" s="735">
        <f t="shared" si="1"/>
        <v>74664112.950000003</v>
      </c>
      <c r="K27" s="735">
        <f t="shared" si="1"/>
        <v>83212012.575000003</v>
      </c>
      <c r="L27" s="735">
        <f t="shared" si="1"/>
        <v>95450367.375</v>
      </c>
      <c r="M27" s="735">
        <f t="shared" si="1"/>
        <v>74640343.950000003</v>
      </c>
      <c r="N27" s="735">
        <f t="shared" si="1"/>
        <v>83654296.875</v>
      </c>
      <c r="O27" s="735">
        <f>SUM(C27:N27)</f>
        <v>976528016.10000026</v>
      </c>
      <c r="T27" s="704"/>
    </row>
    <row r="28" spans="1:20" x14ac:dyDescent="0.2">
      <c r="A28" s="708"/>
      <c r="B28" s="708"/>
      <c r="C28" s="708"/>
      <c r="D28" s="708"/>
      <c r="E28" s="708"/>
      <c r="F28" s="708"/>
      <c r="G28" s="708"/>
      <c r="H28" s="708"/>
      <c r="I28" s="708"/>
      <c r="J28" s="708"/>
      <c r="K28" s="708"/>
      <c r="L28" s="708"/>
      <c r="M28" s="708"/>
      <c r="N28" s="708"/>
      <c r="O28" s="708"/>
      <c r="T28" s="704"/>
    </row>
    <row r="29" spans="1:20" x14ac:dyDescent="0.2">
      <c r="A29" s="709" t="s">
        <v>294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B2:U100"/>
  <sheetViews>
    <sheetView topLeftCell="A16" zoomScale="110" zoomScaleNormal="110" workbookViewId="0">
      <selection activeCell="M41" sqref="M41"/>
    </sheetView>
  </sheetViews>
  <sheetFormatPr baseColWidth="10" defaultRowHeight="15" x14ac:dyDescent="0.25"/>
  <cols>
    <col min="1" max="1" width="12.140625" customWidth="1"/>
    <col min="2" max="2" width="7.140625" style="222"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2" customWidth="1"/>
    <col min="10" max="10" width="13.42578125" style="12"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11"/>
      <c r="D2" s="11"/>
      <c r="E2" s="11"/>
      <c r="F2" s="11"/>
      <c r="G2" s="11"/>
      <c r="H2" s="11"/>
      <c r="K2" s="220" t="s">
        <v>178</v>
      </c>
    </row>
    <row r="3" spans="2:16" x14ac:dyDescent="0.25">
      <c r="C3" s="11"/>
      <c r="D3" s="11"/>
      <c r="E3" s="11"/>
      <c r="F3" s="11"/>
      <c r="G3" s="11"/>
      <c r="H3" s="11"/>
      <c r="I3" s="79"/>
      <c r="J3" s="79"/>
    </row>
    <row r="4" spans="2:16" ht="15.75" thickBot="1" x14ac:dyDescent="0.3">
      <c r="C4" s="860" t="s">
        <v>179</v>
      </c>
      <c r="D4" s="860"/>
      <c r="E4" s="860"/>
      <c r="F4" s="860"/>
      <c r="G4" s="860"/>
      <c r="H4" s="860"/>
      <c r="I4" s="860"/>
      <c r="J4" s="860"/>
      <c r="K4" s="860"/>
    </row>
    <row r="5" spans="2:16" x14ac:dyDescent="0.25">
      <c r="B5" s="969" t="s">
        <v>321</v>
      </c>
      <c r="C5" s="970"/>
      <c r="D5" s="970"/>
      <c r="E5" s="970"/>
      <c r="F5" s="970"/>
      <c r="G5" s="970"/>
      <c r="H5" s="970"/>
      <c r="I5" s="970"/>
      <c r="J5" s="970"/>
      <c r="K5" s="971"/>
    </row>
    <row r="6" spans="2:16" ht="15.75" thickBot="1" x14ac:dyDescent="0.3">
      <c r="B6" s="972" t="s">
        <v>180</v>
      </c>
      <c r="C6" s="973"/>
      <c r="D6" s="973"/>
      <c r="E6" s="973"/>
      <c r="F6" s="973"/>
      <c r="G6" s="973"/>
      <c r="H6" s="974"/>
      <c r="I6" s="223"/>
      <c r="J6" s="224"/>
      <c r="K6" s="225" t="s">
        <v>20</v>
      </c>
    </row>
    <row r="7" spans="2:16" x14ac:dyDescent="0.25">
      <c r="B7" s="226"/>
      <c r="C7" s="152"/>
      <c r="D7" s="227"/>
      <c r="E7" s="227"/>
      <c r="F7" s="228"/>
      <c r="G7" s="229"/>
      <c r="H7" s="230"/>
      <c r="I7" s="231"/>
      <c r="J7" s="232"/>
      <c r="K7" s="230"/>
    </row>
    <row r="8" spans="2:16" x14ac:dyDescent="0.25">
      <c r="B8" s="233"/>
      <c r="C8" s="975" t="s">
        <v>181</v>
      </c>
      <c r="D8" s="976"/>
      <c r="E8" s="976"/>
      <c r="F8" s="976"/>
      <c r="G8" s="976"/>
      <c r="H8" s="977"/>
      <c r="I8" s="234"/>
      <c r="J8" s="235"/>
      <c r="K8" s="236"/>
      <c r="L8" s="6"/>
    </row>
    <row r="9" spans="2:16" x14ac:dyDescent="0.25">
      <c r="B9" s="233">
        <v>1</v>
      </c>
      <c r="C9" s="963" t="s">
        <v>322</v>
      </c>
      <c r="D9" s="964"/>
      <c r="E9" s="964"/>
      <c r="F9" s="964"/>
      <c r="G9" s="964"/>
      <c r="H9" s="965"/>
      <c r="I9" s="234"/>
      <c r="J9" s="235"/>
      <c r="K9" s="264">
        <v>6537592595</v>
      </c>
      <c r="L9" s="238"/>
      <c r="M9" s="239"/>
      <c r="N9" s="239"/>
      <c r="O9" s="239"/>
      <c r="P9" s="239"/>
    </row>
    <row r="10" spans="2:16" x14ac:dyDescent="0.25">
      <c r="B10" s="233">
        <v>2</v>
      </c>
      <c r="C10" s="963" t="s">
        <v>182</v>
      </c>
      <c r="D10" s="964"/>
      <c r="E10" s="964"/>
      <c r="F10" s="964"/>
      <c r="G10" s="964"/>
      <c r="H10" s="965"/>
      <c r="I10" s="966">
        <v>4340124516</v>
      </c>
      <c r="J10" s="967"/>
      <c r="K10" s="968"/>
      <c r="L10" s="6"/>
    </row>
    <row r="11" spans="2:16" x14ac:dyDescent="0.25">
      <c r="B11" s="233">
        <v>3</v>
      </c>
      <c r="C11" s="240" t="s">
        <v>183</v>
      </c>
      <c r="D11" s="238"/>
      <c r="E11" s="238"/>
      <c r="F11" s="238"/>
      <c r="G11" s="238"/>
      <c r="H11" s="241"/>
      <c r="I11" s="242"/>
      <c r="J11" s="243"/>
      <c r="K11" s="237">
        <f>K9-I10</f>
        <v>2197468079</v>
      </c>
      <c r="L11" s="6"/>
    </row>
    <row r="12" spans="2:16" x14ac:dyDescent="0.25">
      <c r="B12" s="233">
        <v>3</v>
      </c>
      <c r="C12" s="963" t="s">
        <v>184</v>
      </c>
      <c r="D12" s="964"/>
      <c r="E12" s="964"/>
      <c r="F12" s="964"/>
      <c r="G12" s="964"/>
      <c r="H12" s="965"/>
      <c r="I12" s="966">
        <f>K11*22.5%</f>
        <v>494430317.77500004</v>
      </c>
      <c r="J12" s="967"/>
      <c r="K12" s="968"/>
      <c r="L12" s="6"/>
    </row>
    <row r="13" spans="2:16" x14ac:dyDescent="0.25">
      <c r="B13" s="233">
        <v>4</v>
      </c>
      <c r="C13" s="963" t="s">
        <v>185</v>
      </c>
      <c r="D13" s="964"/>
      <c r="E13" s="964"/>
      <c r="F13" s="964"/>
      <c r="G13" s="964"/>
      <c r="H13" s="965"/>
      <c r="I13" s="966">
        <f>I10*22.5%</f>
        <v>976528016.10000002</v>
      </c>
      <c r="J13" s="967"/>
      <c r="K13" s="968"/>
      <c r="L13" s="6"/>
    </row>
    <row r="14" spans="2:16" x14ac:dyDescent="0.25">
      <c r="B14" s="233">
        <v>5</v>
      </c>
      <c r="C14" s="963" t="s">
        <v>323</v>
      </c>
      <c r="D14" s="964"/>
      <c r="E14" s="964"/>
      <c r="F14" s="964"/>
      <c r="G14" s="964"/>
      <c r="H14" s="965"/>
      <c r="I14" s="984"/>
      <c r="J14" s="985"/>
      <c r="K14" s="986"/>
      <c r="L14" s="6"/>
    </row>
    <row r="15" spans="2:16" x14ac:dyDescent="0.25">
      <c r="B15" s="233"/>
      <c r="C15" s="963" t="s">
        <v>324</v>
      </c>
      <c r="D15" s="964"/>
      <c r="E15" s="964"/>
      <c r="F15" s="964"/>
      <c r="G15" s="964"/>
      <c r="H15" s="965"/>
      <c r="I15" s="966">
        <f>I12*60%</f>
        <v>296658190.66500002</v>
      </c>
      <c r="J15" s="967"/>
      <c r="K15" s="968"/>
      <c r="L15" s="6"/>
    </row>
    <row r="16" spans="2:16" ht="15.75" thickBot="1" x14ac:dyDescent="0.3">
      <c r="B16" s="233"/>
      <c r="C16" s="963" t="s">
        <v>325</v>
      </c>
      <c r="D16" s="964"/>
      <c r="E16" s="964"/>
      <c r="F16" s="964"/>
      <c r="G16" s="964"/>
      <c r="H16" s="965"/>
      <c r="I16" s="966">
        <f>I12*30%</f>
        <v>148329095.33250001</v>
      </c>
      <c r="J16" s="967"/>
      <c r="K16" s="968"/>
      <c r="L16" s="6"/>
    </row>
    <row r="17" spans="2:12" ht="15.75" thickBot="1" x14ac:dyDescent="0.3">
      <c r="B17" s="233"/>
      <c r="C17" s="987" t="s">
        <v>326</v>
      </c>
      <c r="D17" s="988"/>
      <c r="E17" s="988"/>
      <c r="F17" s="988"/>
      <c r="G17" s="988"/>
      <c r="H17" s="989"/>
      <c r="I17" s="990">
        <f>I12*10%</f>
        <v>49443031.777500004</v>
      </c>
      <c r="J17" s="991"/>
      <c r="K17" s="992"/>
      <c r="L17" s="6"/>
    </row>
    <row r="18" spans="2:12" ht="15.75" thickBot="1" x14ac:dyDescent="0.3">
      <c r="B18" s="233"/>
      <c r="C18" s="963" t="s">
        <v>186</v>
      </c>
      <c r="D18" s="964"/>
      <c r="E18" s="964"/>
      <c r="F18" s="964"/>
      <c r="G18" s="964"/>
      <c r="H18" s="965"/>
      <c r="I18" s="244">
        <f>SUM(I15:I17)</f>
        <v>494430317.7750001</v>
      </c>
      <c r="J18" s="245"/>
      <c r="K18" s="237">
        <f>SUM(I18)</f>
        <v>494430317.7750001</v>
      </c>
      <c r="L18" s="132"/>
    </row>
    <row r="19" spans="2:12" ht="15.75" thickBot="1" x14ac:dyDescent="0.3">
      <c r="B19" s="246">
        <v>6</v>
      </c>
      <c r="C19" s="978" t="s">
        <v>327</v>
      </c>
      <c r="D19" s="979"/>
      <c r="E19" s="979"/>
      <c r="F19" s="979"/>
      <c r="G19" s="979"/>
      <c r="H19" s="980"/>
      <c r="I19" s="981">
        <f>I12+I13</f>
        <v>1470958333.875</v>
      </c>
      <c r="J19" s="982"/>
      <c r="K19" s="983"/>
      <c r="L19" s="6"/>
    </row>
    <row r="20" spans="2:12" x14ac:dyDescent="0.25">
      <c r="B20" s="656"/>
      <c r="C20" s="993"/>
      <c r="D20" s="993"/>
      <c r="E20" s="993"/>
      <c r="F20" s="993"/>
      <c r="G20" s="993"/>
      <c r="H20" s="993"/>
      <c r="I20" s="994"/>
      <c r="J20" s="995"/>
      <c r="K20" s="996"/>
      <c r="L20" s="6"/>
    </row>
    <row r="21" spans="2:12" x14ac:dyDescent="0.25">
      <c r="B21" s="657"/>
      <c r="C21" s="976" t="s">
        <v>187</v>
      </c>
      <c r="D21" s="976"/>
      <c r="E21" s="976"/>
      <c r="F21" s="976"/>
      <c r="G21" s="976"/>
      <c r="H21" s="976"/>
      <c r="I21" s="1003"/>
      <c r="J21" s="967"/>
      <c r="K21" s="968"/>
      <c r="L21" s="6"/>
    </row>
    <row r="22" spans="2:12" x14ac:dyDescent="0.25">
      <c r="B22" s="657">
        <v>7</v>
      </c>
      <c r="C22" s="964" t="s">
        <v>328</v>
      </c>
      <c r="D22" s="964"/>
      <c r="E22" s="964"/>
      <c r="F22" s="964"/>
      <c r="G22" s="964"/>
      <c r="H22" s="964"/>
      <c r="I22" s="608"/>
      <c r="J22" s="609"/>
      <c r="K22" s="611">
        <v>519797497</v>
      </c>
      <c r="L22" s="6"/>
    </row>
    <row r="23" spans="2:12" x14ac:dyDescent="0.25">
      <c r="B23" s="657">
        <v>8</v>
      </c>
      <c r="C23" s="964" t="s">
        <v>188</v>
      </c>
      <c r="D23" s="964"/>
      <c r="E23" s="964"/>
      <c r="F23" s="964"/>
      <c r="G23" s="964"/>
      <c r="H23" s="964"/>
      <c r="I23" s="608"/>
      <c r="J23" s="609"/>
      <c r="K23" s="611">
        <v>432473544</v>
      </c>
      <c r="L23" s="6"/>
    </row>
    <row r="24" spans="2:12" x14ac:dyDescent="0.25">
      <c r="B24" s="657">
        <v>9</v>
      </c>
      <c r="C24" s="607" t="s">
        <v>329</v>
      </c>
      <c r="D24" s="607"/>
      <c r="E24" s="607"/>
      <c r="F24" s="607"/>
      <c r="G24" s="607"/>
      <c r="H24" s="607"/>
      <c r="I24" s="608"/>
      <c r="J24" s="609"/>
      <c r="K24" s="611">
        <f>K22-K23</f>
        <v>87323953</v>
      </c>
      <c r="L24" s="6"/>
    </row>
    <row r="25" spans="2:12" x14ac:dyDescent="0.25">
      <c r="B25" s="657">
        <v>10</v>
      </c>
      <c r="C25" s="964" t="s">
        <v>189</v>
      </c>
      <c r="D25" s="964"/>
      <c r="E25" s="964"/>
      <c r="F25" s="964"/>
      <c r="G25" s="964"/>
      <c r="H25" s="964"/>
      <c r="I25" s="608"/>
      <c r="J25" s="609"/>
      <c r="K25" s="611">
        <f>K24</f>
        <v>87323953</v>
      </c>
      <c r="L25" s="6"/>
    </row>
    <row r="26" spans="2:12" x14ac:dyDescent="0.25">
      <c r="B26" s="657"/>
      <c r="C26" s="1001" t="s">
        <v>368</v>
      </c>
      <c r="D26" s="964"/>
      <c r="E26" s="964"/>
      <c r="F26" s="964"/>
      <c r="G26" s="964"/>
      <c r="H26" s="1002"/>
      <c r="I26" s="653"/>
      <c r="J26" s="654"/>
      <c r="K26" s="611">
        <f>K25*70%</f>
        <v>61126767.099999994</v>
      </c>
      <c r="L26" s="6"/>
    </row>
    <row r="27" spans="2:12" x14ac:dyDescent="0.25">
      <c r="B27" s="657"/>
      <c r="C27" s="655">
        <v>0.5</v>
      </c>
      <c r="D27" s="607"/>
      <c r="E27" s="607"/>
      <c r="F27" s="607"/>
      <c r="G27" s="607"/>
      <c r="H27" s="610"/>
      <c r="I27" s="653"/>
      <c r="J27" s="654"/>
      <c r="K27" s="611">
        <f>K26*C27</f>
        <v>30563383.549999997</v>
      </c>
      <c r="L27" s="6"/>
    </row>
    <row r="28" spans="2:12" x14ac:dyDescent="0.25">
      <c r="B28" s="657"/>
      <c r="C28" s="655">
        <v>0.5</v>
      </c>
      <c r="D28" s="607"/>
      <c r="E28" s="607"/>
      <c r="F28" s="607"/>
      <c r="G28" s="607"/>
      <c r="H28" s="610"/>
      <c r="I28" s="653"/>
      <c r="J28" s="654"/>
      <c r="K28" s="611">
        <f>K26*C28</f>
        <v>30563383.549999997</v>
      </c>
      <c r="L28" s="6"/>
    </row>
    <row r="29" spans="2:12" x14ac:dyDescent="0.25">
      <c r="B29" s="657"/>
      <c r="C29" s="1001" t="s">
        <v>330</v>
      </c>
      <c r="D29" s="964"/>
      <c r="E29" s="964"/>
      <c r="F29" s="964"/>
      <c r="G29" s="964"/>
      <c r="H29" s="1002"/>
      <c r="I29" s="653"/>
      <c r="J29" s="654"/>
      <c r="K29" s="611">
        <f>K25*30%</f>
        <v>26197185.899999999</v>
      </c>
      <c r="L29" s="6"/>
    </row>
    <row r="30" spans="2:12" ht="15.75" thickBot="1" x14ac:dyDescent="0.3">
      <c r="B30" s="657"/>
      <c r="C30" s="997" t="s">
        <v>369</v>
      </c>
      <c r="D30" s="997"/>
      <c r="E30" s="997"/>
      <c r="F30" s="997"/>
      <c r="G30" s="997"/>
      <c r="H30" s="997"/>
      <c r="I30" s="658"/>
      <c r="J30" s="659"/>
      <c r="K30" s="660">
        <f>K26+K29</f>
        <v>87323953</v>
      </c>
      <c r="L30" s="6"/>
    </row>
    <row r="31" spans="2:12" ht="15.75" thickBot="1" x14ac:dyDescent="0.3">
      <c r="B31" s="661">
        <v>8</v>
      </c>
      <c r="C31" s="998" t="s">
        <v>370</v>
      </c>
      <c r="D31" s="998"/>
      <c r="E31" s="998"/>
      <c r="F31" s="998"/>
      <c r="G31" s="998"/>
      <c r="H31" s="998"/>
      <c r="I31" s="662"/>
      <c r="J31" s="663"/>
      <c r="K31" s="664">
        <f>K23+K24</f>
        <v>519797497</v>
      </c>
      <c r="L31" s="6"/>
    </row>
    <row r="32" spans="2:12" x14ac:dyDescent="0.25">
      <c r="B32" s="656"/>
      <c r="C32" s="665"/>
      <c r="D32" s="666"/>
      <c r="E32" s="666"/>
      <c r="F32" s="666"/>
      <c r="G32" s="666"/>
      <c r="H32" s="667"/>
      <c r="I32" s="668"/>
      <c r="J32" s="669"/>
      <c r="K32" s="670"/>
      <c r="L32" s="6"/>
    </row>
    <row r="33" spans="2:15" x14ac:dyDescent="0.25">
      <c r="B33" s="657"/>
      <c r="C33" s="999" t="s">
        <v>190</v>
      </c>
      <c r="D33" s="976"/>
      <c r="E33" s="976"/>
      <c r="F33" s="976"/>
      <c r="G33" s="976"/>
      <c r="H33" s="1000"/>
      <c r="I33" s="608"/>
      <c r="J33" s="609"/>
      <c r="K33" s="671">
        <v>311081983</v>
      </c>
      <c r="L33" s="6"/>
    </row>
    <row r="34" spans="2:15" x14ac:dyDescent="0.25">
      <c r="B34" s="657">
        <v>9</v>
      </c>
      <c r="C34" s="964" t="s">
        <v>331</v>
      </c>
      <c r="D34" s="964"/>
      <c r="E34" s="964"/>
      <c r="F34" s="964"/>
      <c r="G34" s="964"/>
      <c r="H34" s="964"/>
      <c r="I34" s="608"/>
      <c r="J34" s="609"/>
      <c r="K34" s="611">
        <f>K33*22.5%</f>
        <v>69993446.174999997</v>
      </c>
      <c r="L34" s="132">
        <f>K34*22.5%</f>
        <v>15748525.389374999</v>
      </c>
    </row>
    <row r="35" spans="2:15" ht="15.75" thickBot="1" x14ac:dyDescent="0.3">
      <c r="B35" s="657">
        <v>10</v>
      </c>
      <c r="C35" s="964" t="s">
        <v>191</v>
      </c>
      <c r="D35" s="964"/>
      <c r="E35" s="964"/>
      <c r="F35" s="964"/>
      <c r="G35" s="964"/>
      <c r="H35" s="964"/>
      <c r="I35" s="608"/>
      <c r="J35" s="609"/>
      <c r="K35" s="611">
        <v>44079525</v>
      </c>
      <c r="L35" s="132">
        <f>K35*0.225</f>
        <v>9917893.125</v>
      </c>
      <c r="N35" s="605"/>
    </row>
    <row r="36" spans="2:15" ht="15.75" thickBot="1" x14ac:dyDescent="0.3">
      <c r="B36" s="672">
        <v>11</v>
      </c>
      <c r="C36" s="675" t="s">
        <v>332</v>
      </c>
      <c r="D36" s="676"/>
      <c r="E36" s="676"/>
      <c r="F36" s="676"/>
      <c r="G36" s="676"/>
      <c r="H36" s="677"/>
      <c r="I36" s="663"/>
      <c r="J36" s="663"/>
      <c r="K36" s="664">
        <f>K34-K35</f>
        <v>25913921.174999997</v>
      </c>
      <c r="L36" s="132">
        <f>K36*22.5%</f>
        <v>5830632.2643749993</v>
      </c>
    </row>
    <row r="37" spans="2:15" x14ac:dyDescent="0.25">
      <c r="B37" s="656"/>
      <c r="C37" s="665"/>
      <c r="D37" s="666"/>
      <c r="E37" s="666"/>
      <c r="F37" s="666"/>
      <c r="G37" s="666"/>
      <c r="H37" s="667"/>
      <c r="I37" s="668"/>
      <c r="J37" s="669"/>
      <c r="K37" s="670"/>
      <c r="L37" s="6"/>
    </row>
    <row r="38" spans="2:15" x14ac:dyDescent="0.25">
      <c r="B38" s="657"/>
      <c r="C38" s="999" t="s">
        <v>192</v>
      </c>
      <c r="D38" s="976"/>
      <c r="E38" s="976"/>
      <c r="F38" s="976"/>
      <c r="G38" s="976"/>
      <c r="H38" s="1000"/>
      <c r="I38" s="1004"/>
      <c r="J38" s="985"/>
      <c r="K38" s="986"/>
      <c r="L38" s="6"/>
    </row>
    <row r="39" spans="2:15" x14ac:dyDescent="0.25">
      <c r="B39" s="657">
        <v>12</v>
      </c>
      <c r="C39" s="964" t="s">
        <v>333</v>
      </c>
      <c r="D39" s="964"/>
      <c r="E39" s="964"/>
      <c r="F39" s="964"/>
      <c r="G39" s="964"/>
      <c r="H39" s="964"/>
      <c r="I39" s="646">
        <v>427929733</v>
      </c>
      <c r="J39" s="647"/>
      <c r="K39" s="678">
        <f>I39*22.5%</f>
        <v>96284189.924999997</v>
      </c>
      <c r="L39" s="132"/>
    </row>
    <row r="40" spans="2:15" ht="15.75" thickBot="1" x14ac:dyDescent="0.3">
      <c r="B40" s="657">
        <v>13</v>
      </c>
      <c r="C40" s="964" t="s">
        <v>191</v>
      </c>
      <c r="D40" s="964"/>
      <c r="E40" s="964"/>
      <c r="F40" s="964"/>
      <c r="G40" s="964"/>
      <c r="H40" s="964"/>
      <c r="I40" s="651">
        <v>337311000</v>
      </c>
      <c r="J40" s="609"/>
      <c r="K40" s="611">
        <v>75894975</v>
      </c>
      <c r="L40" s="132">
        <f>K40/22.5%</f>
        <v>337311000</v>
      </c>
      <c r="M40" s="126"/>
    </row>
    <row r="41" spans="2:15" ht="15.75" thickBot="1" x14ac:dyDescent="0.3">
      <c r="B41" s="672">
        <v>14</v>
      </c>
      <c r="C41" s="675" t="s">
        <v>334</v>
      </c>
      <c r="D41" s="676"/>
      <c r="E41" s="676"/>
      <c r="F41" s="676"/>
      <c r="G41" s="676"/>
      <c r="H41" s="677"/>
      <c r="I41" s="693">
        <f>I39-I40</f>
        <v>90618733</v>
      </c>
      <c r="J41" s="663"/>
      <c r="K41" s="664">
        <f>K39-K40</f>
        <v>20389214.924999997</v>
      </c>
      <c r="L41" s="132"/>
      <c r="M41" s="126"/>
      <c r="O41" s="126">
        <v>10658090</v>
      </c>
    </row>
    <row r="42" spans="2:15" x14ac:dyDescent="0.25">
      <c r="B42" s="656"/>
      <c r="C42" s="680"/>
      <c r="D42" s="680"/>
      <c r="E42" s="680"/>
      <c r="F42" s="680"/>
      <c r="G42" s="680"/>
      <c r="H42" s="680"/>
      <c r="I42" s="668"/>
      <c r="J42" s="669"/>
      <c r="K42" s="670"/>
      <c r="L42" s="132"/>
      <c r="M42" s="126"/>
      <c r="O42" s="605">
        <v>0.22500000000000001</v>
      </c>
    </row>
    <row r="43" spans="2:15" x14ac:dyDescent="0.25">
      <c r="B43" s="657"/>
      <c r="C43" s="999" t="s">
        <v>193</v>
      </c>
      <c r="D43" s="976"/>
      <c r="E43" s="976"/>
      <c r="F43" s="976"/>
      <c r="G43" s="976"/>
      <c r="H43" s="1000"/>
      <c r="I43" s="648"/>
      <c r="J43" s="649"/>
      <c r="K43" s="678">
        <v>630319623</v>
      </c>
      <c r="L43" s="6"/>
      <c r="O43" s="126">
        <f>O41*O42</f>
        <v>2398070.25</v>
      </c>
    </row>
    <row r="44" spans="2:15" x14ac:dyDescent="0.25">
      <c r="B44" s="657">
        <v>15</v>
      </c>
      <c r="C44" s="964" t="s">
        <v>335</v>
      </c>
      <c r="D44" s="964"/>
      <c r="E44" s="964"/>
      <c r="F44" s="964"/>
      <c r="G44" s="964"/>
      <c r="H44" s="964"/>
      <c r="I44" s="646"/>
      <c r="J44" s="647"/>
      <c r="K44" s="681">
        <f>K43*22.5%</f>
        <v>141821915.17500001</v>
      </c>
      <c r="L44" s="6"/>
    </row>
    <row r="45" spans="2:15" ht="15.75" thickBot="1" x14ac:dyDescent="0.3">
      <c r="B45" s="657">
        <v>16</v>
      </c>
      <c r="C45" s="964" t="s">
        <v>194</v>
      </c>
      <c r="D45" s="964"/>
      <c r="E45" s="964"/>
      <c r="F45" s="964"/>
      <c r="G45" s="964"/>
      <c r="H45" s="964"/>
      <c r="I45" s="608"/>
      <c r="J45" s="609"/>
      <c r="K45" s="611">
        <v>0</v>
      </c>
      <c r="L45" s="6"/>
    </row>
    <row r="46" spans="2:15" ht="15.75" thickBot="1" x14ac:dyDescent="0.3">
      <c r="B46" s="672">
        <v>17</v>
      </c>
      <c r="C46" s="675" t="s">
        <v>336</v>
      </c>
      <c r="D46" s="676"/>
      <c r="E46" s="676"/>
      <c r="F46" s="676"/>
      <c r="G46" s="676"/>
      <c r="H46" s="677"/>
      <c r="I46" s="662"/>
      <c r="J46" s="663"/>
      <c r="K46" s="664">
        <f>K44-K45</f>
        <v>141821915.17500001</v>
      </c>
      <c r="L46" s="6"/>
    </row>
    <row r="47" spans="2:15" x14ac:dyDescent="0.25">
      <c r="B47" s="656"/>
      <c r="C47" s="680"/>
      <c r="D47" s="680"/>
      <c r="E47" s="680"/>
      <c r="F47" s="680"/>
      <c r="G47" s="680"/>
      <c r="H47" s="680"/>
      <c r="I47" s="668"/>
      <c r="J47" s="669"/>
      <c r="K47" s="670"/>
      <c r="L47" s="6"/>
    </row>
    <row r="48" spans="2:15" x14ac:dyDescent="0.25">
      <c r="B48" s="657"/>
      <c r="C48" s="999" t="s">
        <v>195</v>
      </c>
      <c r="D48" s="976"/>
      <c r="E48" s="976"/>
      <c r="F48" s="976"/>
      <c r="G48" s="976"/>
      <c r="H48" s="1000"/>
      <c r="I48" s="608"/>
      <c r="J48" s="609"/>
      <c r="K48" s="671">
        <v>160771499</v>
      </c>
      <c r="L48" s="6"/>
    </row>
    <row r="49" spans="2:15" x14ac:dyDescent="0.25">
      <c r="B49" s="657">
        <v>18</v>
      </c>
      <c r="C49" s="964" t="s">
        <v>337</v>
      </c>
      <c r="D49" s="964"/>
      <c r="E49" s="964"/>
      <c r="F49" s="964"/>
      <c r="G49" s="964"/>
      <c r="H49" s="964"/>
      <c r="I49" s="608"/>
      <c r="J49" s="609"/>
      <c r="K49" s="611">
        <f>K48*22.5%</f>
        <v>36173587.274999999</v>
      </c>
      <c r="L49" s="132">
        <f>K49*0.225</f>
        <v>8139057.1368749999</v>
      </c>
    </row>
    <row r="50" spans="2:15" ht="15.75" thickBot="1" x14ac:dyDescent="0.3">
      <c r="B50" s="657">
        <v>19</v>
      </c>
      <c r="C50" s="964" t="s">
        <v>196</v>
      </c>
      <c r="D50" s="964"/>
      <c r="E50" s="964"/>
      <c r="F50" s="964"/>
      <c r="G50" s="964"/>
      <c r="H50" s="964"/>
      <c r="I50" s="608"/>
      <c r="J50" s="609"/>
      <c r="K50" s="611">
        <v>20610000</v>
      </c>
      <c r="L50" s="132">
        <f>K50*0.225</f>
        <v>4637250</v>
      </c>
    </row>
    <row r="51" spans="2:15" ht="15.75" thickBot="1" x14ac:dyDescent="0.3">
      <c r="B51" s="672">
        <v>20</v>
      </c>
      <c r="C51" s="675" t="s">
        <v>338</v>
      </c>
      <c r="D51" s="676"/>
      <c r="E51" s="676"/>
      <c r="F51" s="676"/>
      <c r="G51" s="676"/>
      <c r="H51" s="677"/>
      <c r="I51" s="662"/>
      <c r="J51" s="663"/>
      <c r="K51" s="664">
        <f>K49-K50</f>
        <v>15563587.274999999</v>
      </c>
      <c r="L51" s="132">
        <f>K51*0.225</f>
        <v>3501807.1368749999</v>
      </c>
    </row>
    <row r="52" spans="2:15" x14ac:dyDescent="0.25">
      <c r="B52" s="683"/>
      <c r="C52" s="665"/>
      <c r="D52" s="666"/>
      <c r="E52" s="666"/>
      <c r="F52" s="666"/>
      <c r="G52" s="666"/>
      <c r="H52" s="667"/>
      <c r="I52" s="668"/>
      <c r="J52" s="669"/>
      <c r="K52" s="670"/>
      <c r="L52" s="132"/>
    </row>
    <row r="53" spans="2:15" x14ac:dyDescent="0.25">
      <c r="B53" s="688"/>
      <c r="C53" s="999" t="s">
        <v>197</v>
      </c>
      <c r="D53" s="976"/>
      <c r="E53" s="976"/>
      <c r="F53" s="976"/>
      <c r="G53" s="976"/>
      <c r="H53" s="1000"/>
      <c r="I53" s="608"/>
      <c r="J53" s="609"/>
      <c r="K53" s="682">
        <v>241324156</v>
      </c>
      <c r="L53" s="6"/>
    </row>
    <row r="54" spans="2:15" x14ac:dyDescent="0.25">
      <c r="B54" s="688">
        <v>21</v>
      </c>
      <c r="C54" s="1001" t="s">
        <v>339</v>
      </c>
      <c r="D54" s="964"/>
      <c r="E54" s="964"/>
      <c r="F54" s="964"/>
      <c r="G54" s="964"/>
      <c r="H54" s="1002"/>
      <c r="I54" s="608"/>
      <c r="J54" s="609"/>
      <c r="K54" s="611">
        <f>K53*22.5%</f>
        <v>54297935.100000001</v>
      </c>
      <c r="L54" s="132">
        <f>K54*0.225</f>
        <v>12217035.397500001</v>
      </c>
    </row>
    <row r="55" spans="2:15" ht="15.75" thickBot="1" x14ac:dyDescent="0.3">
      <c r="B55" s="688">
        <v>22</v>
      </c>
      <c r="C55" s="1005" t="s">
        <v>196</v>
      </c>
      <c r="D55" s="997"/>
      <c r="E55" s="997"/>
      <c r="F55" s="997"/>
      <c r="G55" s="997"/>
      <c r="H55" s="1006"/>
      <c r="I55" s="608"/>
      <c r="J55" s="609"/>
      <c r="K55" s="611">
        <v>38873250</v>
      </c>
      <c r="L55" s="132">
        <f>K55*0.225</f>
        <v>8746481.25</v>
      </c>
    </row>
    <row r="56" spans="2:15" ht="15.75" thickBot="1" x14ac:dyDescent="0.3">
      <c r="B56" s="661">
        <v>23</v>
      </c>
      <c r="C56" s="612" t="s">
        <v>340</v>
      </c>
      <c r="D56" s="613"/>
      <c r="E56" s="613"/>
      <c r="F56" s="613"/>
      <c r="G56" s="613"/>
      <c r="H56" s="614"/>
      <c r="I56" s="679"/>
      <c r="J56" s="673"/>
      <c r="K56" s="674">
        <f>K54-K55</f>
        <v>15424685.100000001</v>
      </c>
      <c r="L56" s="132">
        <f>K56*0.225</f>
        <v>3470554.1475000004</v>
      </c>
    </row>
    <row r="57" spans="2:15" x14ac:dyDescent="0.25">
      <c r="B57" s="689"/>
      <c r="C57" s="684"/>
      <c r="D57" s="680"/>
      <c r="E57" s="680"/>
      <c r="F57" s="680"/>
      <c r="G57" s="680"/>
      <c r="H57" s="685"/>
      <c r="I57" s="668"/>
      <c r="J57" s="669"/>
      <c r="K57" s="670"/>
      <c r="L57" s="6"/>
      <c r="O57" s="247"/>
    </row>
    <row r="58" spans="2:15" x14ac:dyDescent="0.25">
      <c r="B58" s="686"/>
      <c r="C58" s="999" t="s">
        <v>198</v>
      </c>
      <c r="D58" s="976"/>
      <c r="E58" s="976"/>
      <c r="F58" s="976"/>
      <c r="G58" s="976"/>
      <c r="H58" s="1000"/>
      <c r="I58" s="608"/>
      <c r="J58" s="609"/>
      <c r="K58" s="671">
        <v>36787769</v>
      </c>
      <c r="L58" s="132"/>
      <c r="O58" s="159"/>
    </row>
    <row r="59" spans="2:15" x14ac:dyDescent="0.25">
      <c r="B59" s="686">
        <v>24</v>
      </c>
      <c r="C59" s="1001" t="s">
        <v>341</v>
      </c>
      <c r="D59" s="964"/>
      <c r="E59" s="964"/>
      <c r="F59" s="964"/>
      <c r="G59" s="964"/>
      <c r="H59" s="1002"/>
      <c r="I59" s="608"/>
      <c r="J59" s="609"/>
      <c r="K59" s="611">
        <f>K58*22.5%</f>
        <v>8277248.0250000004</v>
      </c>
      <c r="L59" s="132">
        <f>K59*0.225</f>
        <v>1862380.805625</v>
      </c>
      <c r="O59" s="248"/>
    </row>
    <row r="60" spans="2:15" ht="15.75" thickBot="1" x14ac:dyDescent="0.3">
      <c r="B60" s="686">
        <v>25</v>
      </c>
      <c r="C60" s="1005"/>
      <c r="D60" s="997"/>
      <c r="E60" s="997"/>
      <c r="F60" s="997"/>
      <c r="G60" s="997"/>
      <c r="H60" s="1006"/>
      <c r="I60" s="608"/>
      <c r="J60" s="609"/>
      <c r="K60" s="611"/>
      <c r="L60" s="132">
        <f>K60*0.225</f>
        <v>0</v>
      </c>
    </row>
    <row r="61" spans="2:15" ht="15.75" thickBot="1" x14ac:dyDescent="0.3">
      <c r="B61" s="672">
        <v>26</v>
      </c>
      <c r="C61" s="675" t="s">
        <v>342</v>
      </c>
      <c r="D61" s="676"/>
      <c r="E61" s="676"/>
      <c r="F61" s="676"/>
      <c r="G61" s="676"/>
      <c r="H61" s="677"/>
      <c r="I61" s="662"/>
      <c r="J61" s="663"/>
      <c r="K61" s="664">
        <f>K59-K60</f>
        <v>8277248.0250000004</v>
      </c>
      <c r="L61" s="132">
        <f>K61*0.225</f>
        <v>1862380.805625</v>
      </c>
    </row>
    <row r="62" spans="2:15" x14ac:dyDescent="0.25">
      <c r="B62" s="656"/>
      <c r="C62" s="684"/>
      <c r="D62" s="680"/>
      <c r="E62" s="680"/>
      <c r="F62" s="680"/>
      <c r="G62" s="680"/>
      <c r="H62" s="685"/>
      <c r="I62" s="668"/>
      <c r="J62" s="669"/>
      <c r="K62" s="670"/>
      <c r="L62" s="132"/>
    </row>
    <row r="63" spans="2:15" x14ac:dyDescent="0.25">
      <c r="B63" s="657"/>
      <c r="C63" s="999" t="s">
        <v>199</v>
      </c>
      <c r="D63" s="976"/>
      <c r="E63" s="976"/>
      <c r="F63" s="976"/>
      <c r="G63" s="976"/>
      <c r="H63" s="1000"/>
      <c r="I63" s="608"/>
      <c r="J63" s="609"/>
      <c r="K63" s="671">
        <v>10658090</v>
      </c>
      <c r="L63" s="132"/>
    </row>
    <row r="64" spans="2:15" x14ac:dyDescent="0.25">
      <c r="B64" s="657">
        <v>27</v>
      </c>
      <c r="C64" s="964" t="s">
        <v>343</v>
      </c>
      <c r="D64" s="964"/>
      <c r="E64" s="964"/>
      <c r="F64" s="964"/>
      <c r="G64" s="964"/>
      <c r="H64" s="964"/>
      <c r="I64" s="608"/>
      <c r="J64" s="609"/>
      <c r="K64" s="611">
        <f>K63*22.5%</f>
        <v>2398070.25</v>
      </c>
      <c r="L64" s="132">
        <f>K64*0.225</f>
        <v>539565.80625000002</v>
      </c>
    </row>
    <row r="65" spans="2:21" ht="15.75" thickBot="1" x14ac:dyDescent="0.3">
      <c r="B65" s="657">
        <v>28</v>
      </c>
      <c r="C65" s="964"/>
      <c r="D65" s="964"/>
      <c r="E65" s="964"/>
      <c r="F65" s="964"/>
      <c r="G65" s="964"/>
      <c r="H65" s="964"/>
      <c r="I65" s="608"/>
      <c r="J65" s="609"/>
      <c r="K65" s="611"/>
      <c r="L65" s="6"/>
    </row>
    <row r="66" spans="2:21" ht="15.75" thickBot="1" x14ac:dyDescent="0.3">
      <c r="B66" s="672">
        <v>29</v>
      </c>
      <c r="C66" s="612"/>
      <c r="D66" s="613"/>
      <c r="E66" s="613"/>
      <c r="F66" s="613"/>
      <c r="G66" s="613"/>
      <c r="H66" s="614"/>
      <c r="I66" s="679"/>
      <c r="J66" s="673"/>
      <c r="K66" s="615">
        <f>K64-K65</f>
        <v>2398070.25</v>
      </c>
      <c r="L66" s="6"/>
    </row>
    <row r="67" spans="2:21" x14ac:dyDescent="0.25">
      <c r="B67" s="687"/>
      <c r="C67" s="1010" t="s">
        <v>66</v>
      </c>
      <c r="D67" s="1011"/>
      <c r="E67" s="1011"/>
      <c r="F67" s="1011"/>
      <c r="G67" s="1011"/>
      <c r="H67" s="1012"/>
      <c r="I67" s="1013"/>
      <c r="J67" s="1014"/>
      <c r="K67" s="1015"/>
      <c r="L67" s="6"/>
    </row>
    <row r="68" spans="2:21" x14ac:dyDescent="0.25">
      <c r="C68" s="104"/>
      <c r="D68" s="104"/>
      <c r="E68" s="104"/>
      <c r="F68" s="104"/>
      <c r="G68" s="104"/>
      <c r="H68" s="104"/>
      <c r="I68" s="105"/>
      <c r="J68" s="105"/>
      <c r="K68" s="6"/>
      <c r="L68" s="6"/>
    </row>
    <row r="69" spans="2:21" ht="15" customHeight="1" x14ac:dyDescent="0.25">
      <c r="C69" s="104" t="s">
        <v>371</v>
      </c>
      <c r="D69" s="104"/>
      <c r="E69" s="104"/>
      <c r="F69" s="104"/>
      <c r="G69" s="104"/>
      <c r="H69" s="104"/>
      <c r="I69" s="105"/>
      <c r="J69" s="105"/>
      <c r="K69" s="6"/>
      <c r="L69" s="6"/>
    </row>
    <row r="70" spans="2:21" ht="9.6" customHeight="1" x14ac:dyDescent="0.25"/>
    <row r="71" spans="2:21" ht="18" customHeight="1" x14ac:dyDescent="0.25"/>
    <row r="72" spans="2:21" ht="15" customHeight="1" x14ac:dyDescent="0.25">
      <c r="C72" s="1016" t="s">
        <v>14</v>
      </c>
      <c r="D72" s="1007">
        <v>2010</v>
      </c>
      <c r="E72" s="1008"/>
      <c r="F72" s="1009"/>
      <c r="G72" s="1007">
        <v>2011</v>
      </c>
      <c r="H72" s="1008"/>
      <c r="I72" s="1009"/>
      <c r="J72" s="249"/>
      <c r="K72" s="1007">
        <v>2017</v>
      </c>
      <c r="L72" s="1008"/>
      <c r="M72" s="1009"/>
      <c r="N72" s="1007">
        <v>2018</v>
      </c>
      <c r="O72" s="1008"/>
      <c r="P72" s="1009"/>
      <c r="Q72" s="79"/>
      <c r="R72" s="871" t="s">
        <v>201</v>
      </c>
      <c r="S72" s="79"/>
    </row>
    <row r="73" spans="2:21" ht="15" customHeight="1" x14ac:dyDescent="0.25">
      <c r="C73" s="1016"/>
      <c r="D73" s="221" t="s">
        <v>168</v>
      </c>
      <c r="E73" s="221" t="s">
        <v>169</v>
      </c>
      <c r="F73" s="221" t="s">
        <v>170</v>
      </c>
      <c r="G73" s="221" t="s">
        <v>168</v>
      </c>
      <c r="H73" s="221" t="s">
        <v>169</v>
      </c>
      <c r="I73" s="221" t="s">
        <v>170</v>
      </c>
      <c r="J73" s="221"/>
      <c r="K73" s="221" t="s">
        <v>168</v>
      </c>
      <c r="L73" s="221" t="s">
        <v>169</v>
      </c>
      <c r="M73" s="250" t="s">
        <v>170</v>
      </c>
      <c r="N73" s="221" t="s">
        <v>168</v>
      </c>
      <c r="O73" s="221" t="s">
        <v>169</v>
      </c>
      <c r="P73" s="250" t="s">
        <v>170</v>
      </c>
      <c r="Q73" s="79"/>
      <c r="R73" s="871"/>
      <c r="S73" s="79"/>
    </row>
    <row r="74" spans="2:21" ht="15" customHeight="1" x14ac:dyDescent="0.25">
      <c r="C74" s="650" t="s">
        <v>148</v>
      </c>
      <c r="D74" s="52">
        <v>1682502</v>
      </c>
      <c r="E74" s="251">
        <v>4238017</v>
      </c>
      <c r="F74" s="252">
        <f t="shared" ref="F74:F94" si="0">D74+E74</f>
        <v>5920519</v>
      </c>
      <c r="G74" s="52">
        <v>1970081.77</v>
      </c>
      <c r="H74" s="52">
        <v>4430528</v>
      </c>
      <c r="I74" s="252">
        <f t="shared" ref="I74:I94" si="1">G74+H74</f>
        <v>6400609.7699999996</v>
      </c>
      <c r="J74" s="253">
        <f>I74/F74</f>
        <v>1.0810893048396601</v>
      </c>
      <c r="K74" s="52">
        <v>4600138</v>
      </c>
      <c r="L74" s="52">
        <v>6164575</v>
      </c>
      <c r="M74" s="52">
        <f>SUM(K74:L74)</f>
        <v>10764713</v>
      </c>
      <c r="N74" s="52">
        <v>3847011</v>
      </c>
      <c r="O74" s="52">
        <v>7359180</v>
      </c>
      <c r="P74" s="252">
        <f>SUM(N74:O74)</f>
        <v>11206191</v>
      </c>
      <c r="R74" s="125">
        <f>P74/M74</f>
        <v>1.0410115903693855</v>
      </c>
      <c r="S74" s="254"/>
      <c r="T74" s="125"/>
      <c r="U74" s="126"/>
    </row>
    <row r="75" spans="2:21" ht="15" customHeight="1" x14ac:dyDescent="0.25">
      <c r="C75" s="650" t="s">
        <v>149</v>
      </c>
      <c r="D75" s="52">
        <v>1426148</v>
      </c>
      <c r="E75" s="251">
        <v>1269045.2039224801</v>
      </c>
      <c r="F75" s="252">
        <f>D75+E75</f>
        <v>2695193.2039224803</v>
      </c>
      <c r="G75" s="52">
        <v>1509150</v>
      </c>
      <c r="H75" s="52">
        <v>1369030</v>
      </c>
      <c r="I75" s="252">
        <f>G75+H75</f>
        <v>2878180</v>
      </c>
      <c r="J75" s="253">
        <f t="shared" ref="J75:J93" si="2">I75/F75</f>
        <v>1.0678937583440058</v>
      </c>
      <c r="K75" s="52">
        <v>1868560</v>
      </c>
      <c r="L75" s="52">
        <v>4098808</v>
      </c>
      <c r="M75" s="52">
        <f t="shared" ref="M75:M93" si="3">SUM(K75:L75)</f>
        <v>5967368</v>
      </c>
      <c r="N75" s="52">
        <v>2203748</v>
      </c>
      <c r="O75" s="52">
        <v>4292333</v>
      </c>
      <c r="P75" s="252">
        <f>N75+O75</f>
        <v>6496081</v>
      </c>
      <c r="R75" s="125">
        <f t="shared" ref="R75:R93" si="4">P75/M75</f>
        <v>1.0886007030235105</v>
      </c>
      <c r="S75" s="254"/>
      <c r="T75" s="125"/>
      <c r="U75" s="126"/>
    </row>
    <row r="76" spans="2:21" ht="15" customHeight="1" x14ac:dyDescent="0.25">
      <c r="C76" s="650" t="s">
        <v>150</v>
      </c>
      <c r="D76" s="52">
        <v>2556102</v>
      </c>
      <c r="E76" s="251">
        <v>1591529</v>
      </c>
      <c r="F76" s="252">
        <f t="shared" si="0"/>
        <v>4147631</v>
      </c>
      <c r="G76" s="52">
        <v>1516908</v>
      </c>
      <c r="H76" s="52">
        <v>1406499</v>
      </c>
      <c r="I76" s="252">
        <f t="shared" si="1"/>
        <v>2923407</v>
      </c>
      <c r="J76" s="253">
        <f t="shared" si="2"/>
        <v>0.70483777365922862</v>
      </c>
      <c r="K76" s="52">
        <v>272482</v>
      </c>
      <c r="L76" s="52">
        <v>801471</v>
      </c>
      <c r="M76" s="52">
        <f t="shared" si="3"/>
        <v>1073953</v>
      </c>
      <c r="N76" s="52">
        <v>2211427</v>
      </c>
      <c r="O76" s="52">
        <v>1095526</v>
      </c>
      <c r="P76" s="252">
        <f t="shared" ref="P76:P93" si="5">N76+O76</f>
        <v>3306953</v>
      </c>
      <c r="R76" s="125">
        <f t="shared" si="4"/>
        <v>3.0792343799030313</v>
      </c>
      <c r="S76" s="254"/>
      <c r="T76" s="125"/>
      <c r="U76" s="126"/>
    </row>
    <row r="77" spans="2:21" ht="15" customHeight="1" x14ac:dyDescent="0.25">
      <c r="C77" s="650" t="s">
        <v>151</v>
      </c>
      <c r="D77" s="52">
        <v>78746014</v>
      </c>
      <c r="E77" s="251">
        <v>45839494.140000001</v>
      </c>
      <c r="F77" s="252">
        <f>D77+E77</f>
        <v>124585508.14</v>
      </c>
      <c r="G77" s="52">
        <v>78848903</v>
      </c>
      <c r="H77" s="52">
        <v>64656269</v>
      </c>
      <c r="I77" s="252">
        <f>G77+H77</f>
        <v>143505172</v>
      </c>
      <c r="J77" s="253">
        <f t="shared" si="2"/>
        <v>1.1518608716411822</v>
      </c>
      <c r="K77" s="52">
        <v>154339475</v>
      </c>
      <c r="L77" s="52">
        <v>114466230</v>
      </c>
      <c r="M77" s="52">
        <f t="shared" si="3"/>
        <v>268805705</v>
      </c>
      <c r="N77" s="52">
        <v>170774917</v>
      </c>
      <c r="O77" s="52">
        <v>122745095</v>
      </c>
      <c r="P77" s="252">
        <f>N77+O77</f>
        <v>293520012</v>
      </c>
      <c r="R77" s="125">
        <f t="shared" si="4"/>
        <v>1.0919411550435658</v>
      </c>
      <c r="S77" s="254"/>
      <c r="T77" s="125"/>
      <c r="U77" s="126"/>
    </row>
    <row r="78" spans="2:21" ht="15" customHeight="1" x14ac:dyDescent="0.25">
      <c r="C78" s="650" t="s">
        <v>152</v>
      </c>
      <c r="D78" s="52">
        <v>10223733</v>
      </c>
      <c r="E78" s="251">
        <v>19002626</v>
      </c>
      <c r="F78" s="252">
        <f t="shared" si="0"/>
        <v>29226359</v>
      </c>
      <c r="G78" s="52">
        <v>11239004</v>
      </c>
      <c r="H78" s="52">
        <v>19033512</v>
      </c>
      <c r="I78" s="252">
        <f t="shared" si="1"/>
        <v>30272516</v>
      </c>
      <c r="J78" s="253">
        <f t="shared" si="2"/>
        <v>1.0357949821939845</v>
      </c>
      <c r="K78" s="52">
        <v>15872814</v>
      </c>
      <c r="L78" s="52">
        <v>9610927</v>
      </c>
      <c r="M78" s="52">
        <f t="shared" si="3"/>
        <v>25483741</v>
      </c>
      <c r="N78" s="52">
        <v>15746604</v>
      </c>
      <c r="O78" s="52">
        <v>10379876</v>
      </c>
      <c r="P78" s="252">
        <f t="shared" si="5"/>
        <v>26126480</v>
      </c>
      <c r="R78" s="125">
        <f t="shared" si="4"/>
        <v>1.0252215324272838</v>
      </c>
      <c r="S78" s="254"/>
      <c r="T78" s="125"/>
      <c r="U78" s="126"/>
    </row>
    <row r="79" spans="2:21" ht="15" customHeight="1" x14ac:dyDescent="0.25">
      <c r="C79" s="650" t="s">
        <v>153</v>
      </c>
      <c r="D79" s="52">
        <v>15115</v>
      </c>
      <c r="E79" s="251">
        <v>747024.60800000001</v>
      </c>
      <c r="F79" s="252">
        <f>D79+E79</f>
        <v>762139.60800000001</v>
      </c>
      <c r="G79" s="52">
        <v>15047.65</v>
      </c>
      <c r="H79" s="52">
        <v>46822</v>
      </c>
      <c r="I79" s="252">
        <f>G79+H79</f>
        <v>61869.65</v>
      </c>
      <c r="J79" s="253">
        <f t="shared" si="2"/>
        <v>8.1178893408200878E-2</v>
      </c>
      <c r="K79" s="52">
        <v>23315</v>
      </c>
      <c r="L79" s="52">
        <v>123172</v>
      </c>
      <c r="M79" s="52">
        <f t="shared" si="3"/>
        <v>146487</v>
      </c>
      <c r="N79" s="52">
        <v>33467</v>
      </c>
      <c r="O79" s="52">
        <v>82331</v>
      </c>
      <c r="P79" s="252">
        <f>N79+O79</f>
        <v>115798</v>
      </c>
      <c r="R79" s="125">
        <f t="shared" si="4"/>
        <v>0.79050018090342489</v>
      </c>
      <c r="S79" s="254"/>
      <c r="T79" s="125"/>
      <c r="U79" s="126"/>
    </row>
    <row r="80" spans="2:21" ht="15" customHeight="1" x14ac:dyDescent="0.25">
      <c r="C80" s="650" t="s">
        <v>154</v>
      </c>
      <c r="D80" s="52">
        <v>39804</v>
      </c>
      <c r="E80" s="251">
        <v>70181</v>
      </c>
      <c r="F80" s="252">
        <f>D80+E80</f>
        <v>109985</v>
      </c>
      <c r="G80" s="52">
        <v>11353.99</v>
      </c>
      <c r="H80" s="52">
        <v>108200</v>
      </c>
      <c r="I80" s="252">
        <f>G80+H80</f>
        <v>119553.99</v>
      </c>
      <c r="J80" s="253">
        <f t="shared" si="2"/>
        <v>1.0870026821839343</v>
      </c>
      <c r="K80" s="52">
        <v>10148</v>
      </c>
      <c r="L80" s="52">
        <v>27360</v>
      </c>
      <c r="M80" s="52">
        <f t="shared" si="3"/>
        <v>37508</v>
      </c>
      <c r="N80" s="52">
        <v>13603</v>
      </c>
      <c r="O80" s="52">
        <v>78610</v>
      </c>
      <c r="P80" s="252">
        <f>N80+O80</f>
        <v>92213</v>
      </c>
      <c r="R80" s="125">
        <f t="shared" si="4"/>
        <v>2.4584888557107818</v>
      </c>
      <c r="S80" s="254"/>
      <c r="T80" s="125"/>
      <c r="U80" s="126"/>
    </row>
    <row r="81" spans="3:21" ht="15" customHeight="1" x14ac:dyDescent="0.25">
      <c r="C81" s="650" t="s">
        <v>155</v>
      </c>
      <c r="D81" s="52">
        <v>3802609</v>
      </c>
      <c r="E81" s="251">
        <v>3607111</v>
      </c>
      <c r="F81" s="252">
        <f t="shared" si="0"/>
        <v>7409720</v>
      </c>
      <c r="G81" s="52">
        <v>5015719</v>
      </c>
      <c r="H81" s="52">
        <v>3584924</v>
      </c>
      <c r="I81" s="252">
        <f t="shared" si="1"/>
        <v>8600643</v>
      </c>
      <c r="J81" s="253">
        <f t="shared" si="2"/>
        <v>1.1607244268339425</v>
      </c>
      <c r="K81" s="52">
        <v>9995787</v>
      </c>
      <c r="L81" s="52">
        <v>2921966</v>
      </c>
      <c r="M81" s="52">
        <f t="shared" si="3"/>
        <v>12917753</v>
      </c>
      <c r="N81" s="52">
        <v>5696258</v>
      </c>
      <c r="O81" s="52">
        <v>5984263</v>
      </c>
      <c r="P81" s="252">
        <f t="shared" si="5"/>
        <v>11680521</v>
      </c>
      <c r="R81" s="125">
        <f t="shared" si="4"/>
        <v>0.90422235198335188</v>
      </c>
      <c r="S81" s="254"/>
      <c r="T81" s="125"/>
      <c r="U81" s="126"/>
    </row>
    <row r="82" spans="3:21" ht="15" customHeight="1" x14ac:dyDescent="0.25">
      <c r="C82" s="650" t="s">
        <v>156</v>
      </c>
      <c r="D82" s="52">
        <v>679452.26649999991</v>
      </c>
      <c r="E82" s="251">
        <v>979732.52173799998</v>
      </c>
      <c r="F82" s="252">
        <f t="shared" si="0"/>
        <v>1659184.7882379999</v>
      </c>
      <c r="G82" s="52">
        <v>709042</v>
      </c>
      <c r="H82" s="52">
        <v>1116169</v>
      </c>
      <c r="I82" s="252">
        <f t="shared" si="1"/>
        <v>1825211</v>
      </c>
      <c r="J82" s="253">
        <f t="shared" si="2"/>
        <v>1.1000649312475403</v>
      </c>
      <c r="K82" s="52">
        <v>1515005</v>
      </c>
      <c r="L82" s="52">
        <v>1085491</v>
      </c>
      <c r="M82" s="52">
        <f t="shared" si="3"/>
        <v>2600496</v>
      </c>
      <c r="N82" s="52">
        <v>2229122</v>
      </c>
      <c r="O82" s="52">
        <v>1191698</v>
      </c>
      <c r="P82" s="252">
        <f t="shared" si="5"/>
        <v>3420820</v>
      </c>
      <c r="R82" s="125">
        <f t="shared" si="4"/>
        <v>1.315449052796082</v>
      </c>
      <c r="S82" s="254"/>
      <c r="T82" s="125"/>
      <c r="U82" s="126"/>
    </row>
    <row r="83" spans="3:21" ht="15" customHeight="1" x14ac:dyDescent="0.25">
      <c r="C83" s="650" t="s">
        <v>157</v>
      </c>
      <c r="D83" s="52">
        <v>490919.83199999999</v>
      </c>
      <c r="E83" s="251">
        <v>305440</v>
      </c>
      <c r="F83" s="252">
        <f>D83+E83</f>
        <v>796359.83199999994</v>
      </c>
      <c r="G83" s="52">
        <v>501773</v>
      </c>
      <c r="H83" s="52">
        <v>254381</v>
      </c>
      <c r="I83" s="252">
        <f>G83+H83</f>
        <v>756154</v>
      </c>
      <c r="J83" s="253">
        <f t="shared" si="2"/>
        <v>0.94951298347252655</v>
      </c>
      <c r="K83" s="52">
        <v>2011785</v>
      </c>
      <c r="L83" s="52">
        <v>188489</v>
      </c>
      <c r="M83" s="52">
        <f t="shared" si="3"/>
        <v>2200274</v>
      </c>
      <c r="N83" s="52">
        <v>2096161</v>
      </c>
      <c r="O83" s="52">
        <v>270627</v>
      </c>
      <c r="P83" s="252">
        <f>N83+O83</f>
        <v>2366788</v>
      </c>
      <c r="R83" s="125">
        <f t="shared" si="4"/>
        <v>1.0756787563730699</v>
      </c>
      <c r="S83" s="254"/>
      <c r="T83" s="125"/>
      <c r="U83" s="126"/>
    </row>
    <row r="84" spans="3:21" ht="15" customHeight="1" x14ac:dyDescent="0.25">
      <c r="C84" s="650" t="s">
        <v>158</v>
      </c>
      <c r="D84" s="52">
        <v>751355</v>
      </c>
      <c r="E84" s="251">
        <v>540322</v>
      </c>
      <c r="F84" s="252">
        <f t="shared" si="0"/>
        <v>1291677</v>
      </c>
      <c r="G84" s="52">
        <v>833122.71</v>
      </c>
      <c r="H84" s="52">
        <v>449768</v>
      </c>
      <c r="I84" s="252">
        <f t="shared" si="1"/>
        <v>1282890.71</v>
      </c>
      <c r="J84" s="253">
        <f t="shared" si="2"/>
        <v>0.99319776538561877</v>
      </c>
      <c r="K84" s="52">
        <v>1207189</v>
      </c>
      <c r="L84" s="52">
        <v>552064</v>
      </c>
      <c r="M84" s="52">
        <f t="shared" si="3"/>
        <v>1759253</v>
      </c>
      <c r="N84" s="52">
        <v>1480024</v>
      </c>
      <c r="O84" s="52">
        <v>857904</v>
      </c>
      <c r="P84" s="252">
        <f t="shared" si="5"/>
        <v>2337928</v>
      </c>
      <c r="R84" s="125">
        <f t="shared" si="4"/>
        <v>1.3289322229378038</v>
      </c>
      <c r="S84" s="254"/>
      <c r="T84" s="125"/>
      <c r="U84" s="126"/>
    </row>
    <row r="85" spans="3:21" ht="15" customHeight="1" x14ac:dyDescent="0.25">
      <c r="C85" s="650" t="s">
        <v>159</v>
      </c>
      <c r="D85" s="52">
        <v>359295</v>
      </c>
      <c r="E85" s="251">
        <v>1815345</v>
      </c>
      <c r="F85" s="252">
        <f t="shared" si="0"/>
        <v>2174640</v>
      </c>
      <c r="G85" s="52">
        <v>355184</v>
      </c>
      <c r="H85" s="52">
        <v>1292100</v>
      </c>
      <c r="I85" s="252">
        <f t="shared" si="1"/>
        <v>1647284</v>
      </c>
      <c r="J85" s="253">
        <f t="shared" si="2"/>
        <v>0.75749733289188093</v>
      </c>
      <c r="K85" s="52">
        <v>443946</v>
      </c>
      <c r="L85" s="52">
        <v>2361354</v>
      </c>
      <c r="M85" s="52">
        <f t="shared" si="3"/>
        <v>2805300</v>
      </c>
      <c r="N85" s="52">
        <v>532672</v>
      </c>
      <c r="O85" s="52">
        <v>2161785</v>
      </c>
      <c r="P85" s="252">
        <f t="shared" si="5"/>
        <v>2694457</v>
      </c>
      <c r="R85" s="125">
        <f t="shared" si="4"/>
        <v>0.96048800484796637</v>
      </c>
      <c r="S85" s="254"/>
      <c r="T85" s="125"/>
      <c r="U85" s="126"/>
    </row>
    <row r="86" spans="3:21" ht="15" customHeight="1" x14ac:dyDescent="0.25">
      <c r="C86" s="650" t="s">
        <v>160</v>
      </c>
      <c r="D86" s="52">
        <v>1867043</v>
      </c>
      <c r="E86" s="251">
        <v>2195979</v>
      </c>
      <c r="F86" s="252">
        <f t="shared" si="0"/>
        <v>4063022</v>
      </c>
      <c r="G86" s="52">
        <v>1773965</v>
      </c>
      <c r="H86" s="52">
        <v>1766959</v>
      </c>
      <c r="I86" s="252">
        <f t="shared" si="1"/>
        <v>3540924</v>
      </c>
      <c r="J86" s="253">
        <f t="shared" si="2"/>
        <v>0.87150008048196637</v>
      </c>
      <c r="K86" s="52">
        <v>4722861</v>
      </c>
      <c r="L86" s="52">
        <v>1595892</v>
      </c>
      <c r="M86" s="52">
        <f t="shared" si="3"/>
        <v>6318753</v>
      </c>
      <c r="N86" s="52">
        <v>4431219</v>
      </c>
      <c r="O86" s="52">
        <v>2234250</v>
      </c>
      <c r="P86" s="252">
        <f t="shared" si="5"/>
        <v>6665469</v>
      </c>
      <c r="R86" s="125">
        <f t="shared" si="4"/>
        <v>1.0548709531769955</v>
      </c>
      <c r="S86" s="254"/>
      <c r="T86" s="125"/>
      <c r="U86" s="126"/>
    </row>
    <row r="87" spans="3:21" ht="15" customHeight="1" x14ac:dyDescent="0.25">
      <c r="C87" s="650" t="s">
        <v>161</v>
      </c>
      <c r="D87" s="52">
        <v>587111</v>
      </c>
      <c r="E87" s="251">
        <v>404106.06761000003</v>
      </c>
      <c r="F87" s="252">
        <f>D87+E87</f>
        <v>991217.06761000003</v>
      </c>
      <c r="G87" s="52">
        <v>627237.49</v>
      </c>
      <c r="H87" s="52">
        <v>442866</v>
      </c>
      <c r="I87" s="252">
        <f>G87+H87</f>
        <v>1070103.49</v>
      </c>
      <c r="J87" s="253">
        <f t="shared" si="2"/>
        <v>1.079585415715459</v>
      </c>
      <c r="K87" s="52">
        <v>878681</v>
      </c>
      <c r="L87" s="52">
        <v>1097834</v>
      </c>
      <c r="M87" s="52">
        <f t="shared" si="3"/>
        <v>1976515</v>
      </c>
      <c r="N87" s="52">
        <v>1074974</v>
      </c>
      <c r="O87" s="52">
        <v>746412</v>
      </c>
      <c r="P87" s="252">
        <f>N87+O87</f>
        <v>1821386</v>
      </c>
      <c r="R87" s="125">
        <f t="shared" si="4"/>
        <v>0.92151387669711593</v>
      </c>
      <c r="S87" s="254"/>
      <c r="T87" s="125"/>
      <c r="U87" s="126"/>
    </row>
    <row r="88" spans="3:21" ht="15" customHeight="1" x14ac:dyDescent="0.25">
      <c r="C88" s="650" t="s">
        <v>162</v>
      </c>
      <c r="D88" s="52">
        <v>1034790</v>
      </c>
      <c r="E88" s="251">
        <v>1930723.26</v>
      </c>
      <c r="F88" s="252">
        <f t="shared" si="0"/>
        <v>2965513.26</v>
      </c>
      <c r="G88" s="52">
        <v>1086831.6499999999</v>
      </c>
      <c r="H88" s="52">
        <v>967094</v>
      </c>
      <c r="I88" s="252">
        <f t="shared" si="1"/>
        <v>2053925.65</v>
      </c>
      <c r="J88" s="253">
        <f t="shared" si="2"/>
        <v>0.69260376532593892</v>
      </c>
      <c r="K88" s="52">
        <v>2361650</v>
      </c>
      <c r="L88" s="52">
        <v>2335873</v>
      </c>
      <c r="M88" s="52">
        <f t="shared" si="3"/>
        <v>4697523</v>
      </c>
      <c r="N88" s="52">
        <v>2058103</v>
      </c>
      <c r="O88" s="52">
        <v>2519056</v>
      </c>
      <c r="P88" s="252">
        <f t="shared" si="5"/>
        <v>4577159</v>
      </c>
      <c r="R88" s="125">
        <f t="shared" si="4"/>
        <v>0.97437713450258789</v>
      </c>
      <c r="S88" s="254"/>
      <c r="T88" s="125"/>
      <c r="U88" s="126"/>
    </row>
    <row r="89" spans="3:21" ht="15" customHeight="1" x14ac:dyDescent="0.25">
      <c r="C89" s="650" t="s">
        <v>163</v>
      </c>
      <c r="D89" s="52">
        <v>3445369.4415000002</v>
      </c>
      <c r="E89" s="251">
        <v>7876143</v>
      </c>
      <c r="F89" s="252">
        <f t="shared" si="0"/>
        <v>11321512.441500001</v>
      </c>
      <c r="G89" s="52">
        <v>3855604</v>
      </c>
      <c r="H89" s="52">
        <v>8804594</v>
      </c>
      <c r="I89" s="252">
        <f t="shared" si="1"/>
        <v>12660198</v>
      </c>
      <c r="J89" s="253">
        <f t="shared" si="2"/>
        <v>1.1182426434115755</v>
      </c>
      <c r="K89" s="52">
        <v>4200863</v>
      </c>
      <c r="L89" s="52">
        <v>11809025</v>
      </c>
      <c r="M89" s="52">
        <f t="shared" si="3"/>
        <v>16009888</v>
      </c>
      <c r="N89" s="52">
        <v>4902160</v>
      </c>
      <c r="O89" s="52">
        <v>11312920</v>
      </c>
      <c r="P89" s="252">
        <f t="shared" si="5"/>
        <v>16215080</v>
      </c>
      <c r="R89" s="125">
        <f t="shared" si="4"/>
        <v>1.0128165793539592</v>
      </c>
      <c r="S89" s="254"/>
      <c r="T89" s="125"/>
      <c r="U89" s="126"/>
    </row>
    <row r="90" spans="3:21" ht="15" customHeight="1" x14ac:dyDescent="0.25">
      <c r="C90" s="650" t="s">
        <v>164</v>
      </c>
      <c r="D90" s="52">
        <v>1263023</v>
      </c>
      <c r="E90" s="251">
        <v>1192004</v>
      </c>
      <c r="F90" s="252">
        <f t="shared" si="0"/>
        <v>2455027</v>
      </c>
      <c r="G90" s="52">
        <v>1110492</v>
      </c>
      <c r="H90" s="52">
        <v>1122164</v>
      </c>
      <c r="I90" s="252">
        <f t="shared" si="1"/>
        <v>2232656</v>
      </c>
      <c r="J90" s="253">
        <f t="shared" si="2"/>
        <v>0.90942217743430109</v>
      </c>
      <c r="K90" s="52">
        <v>2916876</v>
      </c>
      <c r="L90" s="52">
        <v>1649032</v>
      </c>
      <c r="M90" s="52">
        <f t="shared" si="3"/>
        <v>4565908</v>
      </c>
      <c r="N90" s="52">
        <v>2588653</v>
      </c>
      <c r="O90" s="52">
        <v>1751273</v>
      </c>
      <c r="P90" s="252">
        <f t="shared" si="5"/>
        <v>4339926</v>
      </c>
      <c r="R90" s="125">
        <f t="shared" si="4"/>
        <v>0.95050666811508244</v>
      </c>
      <c r="S90" s="254"/>
      <c r="T90" s="125"/>
      <c r="U90" s="126"/>
    </row>
    <row r="91" spans="3:21" ht="15" customHeight="1" x14ac:dyDescent="0.25">
      <c r="C91" s="650" t="s">
        <v>165</v>
      </c>
      <c r="D91" s="52">
        <v>38607672.27335</v>
      </c>
      <c r="E91" s="251">
        <v>102423063.05140001</v>
      </c>
      <c r="F91" s="252">
        <f>D91+E91</f>
        <v>141030735.32475001</v>
      </c>
      <c r="G91" s="52">
        <v>38794615</v>
      </c>
      <c r="H91" s="52">
        <v>103320484</v>
      </c>
      <c r="I91" s="252">
        <f>G91+H91</f>
        <v>142115099</v>
      </c>
      <c r="J91" s="253">
        <f t="shared" si="2"/>
        <v>1.0076888464968508</v>
      </c>
      <c r="K91" s="52">
        <v>54817026</v>
      </c>
      <c r="L91" s="52">
        <v>285002518</v>
      </c>
      <c r="M91" s="52">
        <f t="shared" si="3"/>
        <v>339819544</v>
      </c>
      <c r="N91" s="606">
        <v>68254405</v>
      </c>
      <c r="O91" s="52">
        <v>181485941</v>
      </c>
      <c r="P91" s="252">
        <f>N91+O91</f>
        <v>249740346</v>
      </c>
      <c r="R91" s="125">
        <f t="shared" si="4"/>
        <v>0.73492049062369413</v>
      </c>
      <c r="S91" s="254"/>
      <c r="T91" s="125"/>
      <c r="U91" s="126"/>
    </row>
    <row r="92" spans="3:21" ht="15" customHeight="1" x14ac:dyDescent="0.25">
      <c r="C92" s="650" t="s">
        <v>166</v>
      </c>
      <c r="D92" s="52">
        <v>1053724</v>
      </c>
      <c r="E92" s="251">
        <v>1760700</v>
      </c>
      <c r="F92" s="252">
        <f t="shared" si="0"/>
        <v>2814424</v>
      </c>
      <c r="G92" s="52">
        <v>974443</v>
      </c>
      <c r="H92" s="52">
        <v>1955033</v>
      </c>
      <c r="I92" s="252">
        <f t="shared" si="1"/>
        <v>2929476</v>
      </c>
      <c r="J92" s="253">
        <f t="shared" si="2"/>
        <v>1.0408794126258161</v>
      </c>
      <c r="K92" s="52">
        <v>824105</v>
      </c>
      <c r="L92" s="52">
        <v>1076489</v>
      </c>
      <c r="M92" s="52">
        <f t="shared" si="3"/>
        <v>1900594</v>
      </c>
      <c r="N92" s="52">
        <v>1341794</v>
      </c>
      <c r="O92" s="52">
        <v>1265479</v>
      </c>
      <c r="P92" s="252">
        <f t="shared" si="5"/>
        <v>2607273</v>
      </c>
      <c r="R92" s="125">
        <f t="shared" si="4"/>
        <v>1.3718200730929384</v>
      </c>
      <c r="S92" s="254"/>
      <c r="T92" s="125"/>
      <c r="U92" s="126"/>
    </row>
    <row r="93" spans="3:21" ht="15" customHeight="1" x14ac:dyDescent="0.25">
      <c r="C93" s="650" t="s">
        <v>167</v>
      </c>
      <c r="D93" s="52">
        <v>4668675</v>
      </c>
      <c r="E93" s="251">
        <v>9408641</v>
      </c>
      <c r="F93" s="252">
        <f t="shared" si="0"/>
        <v>14077316</v>
      </c>
      <c r="G93" s="52">
        <v>5684224</v>
      </c>
      <c r="H93" s="52">
        <v>11342255</v>
      </c>
      <c r="I93" s="252">
        <f t="shared" si="1"/>
        <v>17026479</v>
      </c>
      <c r="J93" s="253">
        <f t="shared" si="2"/>
        <v>1.2094975348994084</v>
      </c>
      <c r="K93" s="52">
        <v>8125909</v>
      </c>
      <c r="L93" s="52">
        <v>17789868</v>
      </c>
      <c r="M93" s="52">
        <f t="shared" si="3"/>
        <v>25915777</v>
      </c>
      <c r="N93" s="52">
        <v>10345095</v>
      </c>
      <c r="O93" s="52">
        <v>27454438</v>
      </c>
      <c r="P93" s="252">
        <f t="shared" si="5"/>
        <v>37799533</v>
      </c>
      <c r="R93" s="125">
        <f t="shared" si="4"/>
        <v>1.4585529501970942</v>
      </c>
      <c r="S93" s="254"/>
      <c r="T93" s="125"/>
      <c r="U93" s="126"/>
    </row>
    <row r="94" spans="3:21" ht="15" customHeight="1" x14ac:dyDescent="0.25">
      <c r="C94" s="149" t="s">
        <v>66</v>
      </c>
      <c r="D94" s="252">
        <f>SUM(D74:D93)</f>
        <v>153300456.81334999</v>
      </c>
      <c r="E94" s="252">
        <f>SUM(E74:E93)</f>
        <v>207197226.85267049</v>
      </c>
      <c r="F94" s="252">
        <f t="shared" si="0"/>
        <v>360497683.66602051</v>
      </c>
      <c r="G94" s="252">
        <f>SUM(G74:G93)</f>
        <v>156432701.25999999</v>
      </c>
      <c r="H94" s="252">
        <f>SUM(H74:H93)</f>
        <v>227469651</v>
      </c>
      <c r="I94" s="252">
        <f t="shared" si="1"/>
        <v>383902352.25999999</v>
      </c>
      <c r="J94" s="253"/>
      <c r="K94" s="252">
        <f t="shared" ref="K94:P94" si="6">SUM(K74:K93)</f>
        <v>271008615</v>
      </c>
      <c r="L94" s="252">
        <f t="shared" si="6"/>
        <v>464758438</v>
      </c>
      <c r="M94" s="252">
        <f t="shared" si="6"/>
        <v>735767053</v>
      </c>
      <c r="N94" s="252">
        <f t="shared" si="6"/>
        <v>301861417</v>
      </c>
      <c r="O94" s="252">
        <f t="shared" si="6"/>
        <v>385268997</v>
      </c>
      <c r="P94" s="255">
        <f t="shared" si="6"/>
        <v>687130414</v>
      </c>
      <c r="R94" s="125">
        <f>SUM(R74:R93)</f>
        <v>24.639147512078722</v>
      </c>
      <c r="S94" s="256"/>
      <c r="T94" s="125"/>
      <c r="U94" s="126"/>
    </row>
    <row r="95" spans="3:21" ht="15" customHeight="1" x14ac:dyDescent="0.25">
      <c r="R95" s="126"/>
      <c r="S95" s="126"/>
      <c r="T95" s="126"/>
      <c r="U95" s="126"/>
    </row>
    <row r="96" spans="3:21" ht="15" customHeight="1" x14ac:dyDescent="0.25">
      <c r="R96" s="126"/>
      <c r="S96" s="126"/>
      <c r="T96" s="126"/>
      <c r="U96" s="126"/>
    </row>
    <row r="97" spans="14:21" x14ac:dyDescent="0.25">
      <c r="R97" s="126"/>
      <c r="S97" s="126"/>
      <c r="T97" s="126"/>
      <c r="U97" s="126"/>
    </row>
    <row r="98" spans="14:21" x14ac:dyDescent="0.25">
      <c r="O98" s="219"/>
      <c r="R98" s="126"/>
      <c r="S98" s="126"/>
      <c r="T98" s="126"/>
      <c r="U98" s="126"/>
    </row>
    <row r="99" spans="14:21" x14ac:dyDescent="0.25">
      <c r="N99">
        <v>301861417</v>
      </c>
      <c r="R99" s="126"/>
      <c r="S99" s="126"/>
      <c r="T99" s="126"/>
      <c r="U99" s="126"/>
    </row>
    <row r="100" spans="14:21" x14ac:dyDescent="0.25">
      <c r="N100" s="219">
        <f>N99-N94</f>
        <v>0</v>
      </c>
      <c r="R100" s="126"/>
      <c r="S100" s="126"/>
      <c r="T100" s="126"/>
      <c r="U100" s="126"/>
    </row>
  </sheetData>
  <mergeCells count="63">
    <mergeCell ref="N72:P72"/>
    <mergeCell ref="R72:R73"/>
    <mergeCell ref="C63:H63"/>
    <mergeCell ref="C64:H64"/>
    <mergeCell ref="C65:H65"/>
    <mergeCell ref="C67:H67"/>
    <mergeCell ref="I67:K67"/>
    <mergeCell ref="C72:C73"/>
    <mergeCell ref="D72:F72"/>
    <mergeCell ref="G72:I72"/>
    <mergeCell ref="K72:M72"/>
    <mergeCell ref="C43:H43"/>
    <mergeCell ref="C38:H38"/>
    <mergeCell ref="C60:H60"/>
    <mergeCell ref="C44:H44"/>
    <mergeCell ref="C45:H45"/>
    <mergeCell ref="C48:H48"/>
    <mergeCell ref="C49:H49"/>
    <mergeCell ref="C50:H50"/>
    <mergeCell ref="C53:H53"/>
    <mergeCell ref="C54:H54"/>
    <mergeCell ref="C55:H55"/>
    <mergeCell ref="C58:H58"/>
    <mergeCell ref="C59:H59"/>
    <mergeCell ref="C34:H34"/>
    <mergeCell ref="C35:H35"/>
    <mergeCell ref="I38:K38"/>
    <mergeCell ref="C39:H39"/>
    <mergeCell ref="C40:H40"/>
    <mergeCell ref="C20:H20"/>
    <mergeCell ref="I20:K20"/>
    <mergeCell ref="C30:H30"/>
    <mergeCell ref="C31:H31"/>
    <mergeCell ref="C33:H33"/>
    <mergeCell ref="C26:H26"/>
    <mergeCell ref="C29:H29"/>
    <mergeCell ref="C21:H21"/>
    <mergeCell ref="I21:K21"/>
    <mergeCell ref="C22:H22"/>
    <mergeCell ref="C23:H23"/>
    <mergeCell ref="C25:H25"/>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10:H10"/>
    <mergeCell ref="I10:K10"/>
    <mergeCell ref="C4:K4"/>
    <mergeCell ref="B5:K5"/>
    <mergeCell ref="B6:H6"/>
    <mergeCell ref="C8:H8"/>
    <mergeCell ref="C9:H9"/>
  </mergeCells>
  <pageMargins left="0" right="0.11811023622047245" top="0.41" bottom="0.74803149606299213" header="0.31496062992125984" footer="0.31496062992125984"/>
  <pageSetup scale="72"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3" tint="0.79998168889431442"/>
    <pageSetUpPr fitToPage="1"/>
  </sheetPr>
  <dimension ref="B2:N56"/>
  <sheetViews>
    <sheetView zoomScaleNormal="100" workbookViewId="0">
      <selection activeCell="J56" sqref="J56"/>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11"/>
      <c r="C2" s="11"/>
      <c r="D2" s="11"/>
      <c r="F2" s="258"/>
      <c r="G2" s="258" t="s">
        <v>217</v>
      </c>
    </row>
    <row r="3" spans="2:9" x14ac:dyDescent="0.25">
      <c r="B3" s="806" t="s">
        <v>0</v>
      </c>
      <c r="C3" s="806"/>
      <c r="D3" s="806"/>
      <c r="E3" s="806"/>
      <c r="F3" s="806"/>
      <c r="G3" s="806"/>
    </row>
    <row r="4" spans="2:9" x14ac:dyDescent="0.25">
      <c r="B4" s="1017" t="s">
        <v>218</v>
      </c>
      <c r="C4" s="1017"/>
      <c r="D4" s="1017"/>
      <c r="E4" s="1017"/>
      <c r="F4" s="1017"/>
      <c r="G4" s="1017"/>
      <c r="H4" s="284"/>
      <c r="I4" s="284"/>
    </row>
    <row r="5" spans="2:9" ht="15" customHeight="1" x14ac:dyDescent="0.25">
      <c r="B5" s="1018" t="s">
        <v>85</v>
      </c>
      <c r="C5" s="1021" t="s">
        <v>26</v>
      </c>
      <c r="D5" s="108"/>
      <c r="E5" s="1018" t="s">
        <v>27</v>
      </c>
      <c r="F5" s="285"/>
      <c r="G5" s="1018" t="s">
        <v>28</v>
      </c>
    </row>
    <row r="6" spans="2:9" ht="28.5" customHeight="1" x14ac:dyDescent="0.25">
      <c r="B6" s="1019"/>
      <c r="C6" s="1022"/>
      <c r="D6" s="25"/>
      <c r="E6" s="1019"/>
      <c r="F6" s="286"/>
      <c r="G6" s="1019"/>
    </row>
    <row r="7" spans="2:9" x14ac:dyDescent="0.25">
      <c r="B7" s="1019"/>
      <c r="C7" s="25" t="s">
        <v>219</v>
      </c>
      <c r="D7" s="25"/>
      <c r="E7" s="280"/>
      <c r="F7" s="280"/>
      <c r="G7" s="25" t="s">
        <v>42</v>
      </c>
    </row>
    <row r="8" spans="2:9" x14ac:dyDescent="0.25">
      <c r="B8" s="1020"/>
      <c r="C8" s="143" t="s">
        <v>72</v>
      </c>
      <c r="D8" s="143"/>
      <c r="E8" s="287" t="s">
        <v>220</v>
      </c>
      <c r="F8" s="280"/>
      <c r="G8" s="143" t="s">
        <v>221</v>
      </c>
    </row>
    <row r="9" spans="2:9" x14ac:dyDescent="0.25">
      <c r="B9" s="144" t="s">
        <v>46</v>
      </c>
      <c r="C9" s="288">
        <f>K36/H36</f>
        <v>1.0410115903693855</v>
      </c>
      <c r="D9" s="289"/>
      <c r="E9" s="290">
        <f>C9/C$29%</f>
        <v>4.2250316569679764</v>
      </c>
      <c r="F9" s="290">
        <f>E9*0.3</f>
        <v>1.2675094970903928</v>
      </c>
      <c r="G9" s="291">
        <f>Datos!$I$16*'FGP 30%'!E9%</f>
        <v>6266951.2342923349</v>
      </c>
      <c r="H9" s="292"/>
      <c r="I9" s="293"/>
    </row>
    <row r="10" spans="2:9" x14ac:dyDescent="0.25">
      <c r="B10" s="147" t="s">
        <v>47</v>
      </c>
      <c r="C10" s="294">
        <f t="shared" ref="C10:C28" si="0">K37/H37</f>
        <v>1.0886007030235105</v>
      </c>
      <c r="D10" s="295"/>
      <c r="E10" s="296">
        <f t="shared" ref="E10:E28" si="1">C10/C$29%</f>
        <v>4.4181760074735728</v>
      </c>
      <c r="F10" s="296">
        <f t="shared" ref="F10:F28" si="2">E10*0.3</f>
        <v>1.3254528022420717</v>
      </c>
      <c r="G10" s="297">
        <f>Datos!$I$16*'FGP 30%'!E10%</f>
        <v>6553440.5020831181</v>
      </c>
      <c r="H10" s="292"/>
      <c r="I10" s="293"/>
    </row>
    <row r="11" spans="2:9" x14ac:dyDescent="0.25">
      <c r="B11" s="147" t="s">
        <v>48</v>
      </c>
      <c r="C11" s="294">
        <f t="shared" si="0"/>
        <v>3.0792343799030313</v>
      </c>
      <c r="D11" s="295"/>
      <c r="E11" s="296">
        <f t="shared" si="1"/>
        <v>12.497327459820243</v>
      </c>
      <c r="F11" s="296">
        <f t="shared" si="2"/>
        <v>3.7491982379460724</v>
      </c>
      <c r="G11" s="297">
        <f>Datos!$I$16*'FGP 30%'!E11%</f>
        <v>18537172.761891469</v>
      </c>
      <c r="H11" s="292"/>
      <c r="I11" s="293"/>
    </row>
    <row r="12" spans="2:9" x14ac:dyDescent="0.25">
      <c r="B12" s="147" t="s">
        <v>49</v>
      </c>
      <c r="C12" s="294">
        <f t="shared" si="0"/>
        <v>1.0919411550435658</v>
      </c>
      <c r="D12" s="295"/>
      <c r="E12" s="296">
        <f t="shared" si="1"/>
        <v>4.4317335083351228</v>
      </c>
      <c r="F12" s="296">
        <f t="shared" si="2"/>
        <v>1.3295200525005368</v>
      </c>
      <c r="G12" s="297">
        <f>Datos!$I$16*'FGP 30%'!E12%</f>
        <v>6573550.220460752</v>
      </c>
      <c r="H12" s="292"/>
      <c r="I12" s="298"/>
    </row>
    <row r="13" spans="2:9" x14ac:dyDescent="0.25">
      <c r="B13" s="147" t="s">
        <v>50</v>
      </c>
      <c r="C13" s="294">
        <f t="shared" si="0"/>
        <v>1.0252215324272838</v>
      </c>
      <c r="D13" s="295"/>
      <c r="E13" s="296">
        <f t="shared" si="1"/>
        <v>4.1609464005809018</v>
      </c>
      <c r="F13" s="296">
        <f t="shared" si="2"/>
        <v>1.2482839201742706</v>
      </c>
      <c r="G13" s="297">
        <f>Datos!$I$16*'FGP 30%'!E13%</f>
        <v>6171894.1532518733</v>
      </c>
      <c r="H13" s="292"/>
      <c r="I13" s="298"/>
    </row>
    <row r="14" spans="2:9" x14ac:dyDescent="0.25">
      <c r="B14" s="147" t="s">
        <v>51</v>
      </c>
      <c r="C14" s="294">
        <f t="shared" si="0"/>
        <v>0.79050018090342489</v>
      </c>
      <c r="D14" s="295"/>
      <c r="E14" s="296">
        <f t="shared" si="1"/>
        <v>3.2083103781493718</v>
      </c>
      <c r="F14" s="296">
        <f t="shared" si="2"/>
        <v>0.96249311344481148</v>
      </c>
      <c r="G14" s="297">
        <f>Datos!$I$16*'FGP 30%'!E14%</f>
        <v>4758857.7593676737</v>
      </c>
      <c r="H14" s="292"/>
      <c r="I14" s="293"/>
    </row>
    <row r="15" spans="2:9" x14ac:dyDescent="0.25">
      <c r="B15" s="147" t="s">
        <v>52</v>
      </c>
      <c r="C15" s="294">
        <f t="shared" si="0"/>
        <v>2.4584888557107818</v>
      </c>
      <c r="D15" s="295"/>
      <c r="E15" s="296">
        <f t="shared" si="1"/>
        <v>9.9779803988496489</v>
      </c>
      <c r="F15" s="296">
        <f t="shared" si="2"/>
        <v>2.9933941196548948</v>
      </c>
      <c r="G15" s="297">
        <f>Datos!$I$16*'FGP 30%'!E15%</f>
        <v>14800248.058067862</v>
      </c>
      <c r="H15" s="292"/>
      <c r="I15" s="293"/>
    </row>
    <row r="16" spans="2:9" x14ac:dyDescent="0.25">
      <c r="B16" s="147" t="s">
        <v>53</v>
      </c>
      <c r="C16" s="294">
        <f t="shared" si="0"/>
        <v>0.90422235198335188</v>
      </c>
      <c r="D16" s="295"/>
      <c r="E16" s="296">
        <f t="shared" si="1"/>
        <v>3.6698612171187337</v>
      </c>
      <c r="F16" s="296">
        <f t="shared" si="2"/>
        <v>1.1009583651356201</v>
      </c>
      <c r="G16" s="297">
        <f>Datos!$I$16*'FGP 30%'!E16%</f>
        <v>5443471.9433104908</v>
      </c>
      <c r="H16" s="292"/>
      <c r="I16" s="293"/>
    </row>
    <row r="17" spans="2:9" x14ac:dyDescent="0.25">
      <c r="B17" s="147" t="s">
        <v>54</v>
      </c>
      <c r="C17" s="294">
        <f t="shared" si="0"/>
        <v>1.315449052796082</v>
      </c>
      <c r="D17" s="295"/>
      <c r="E17" s="296">
        <f t="shared" si="1"/>
        <v>5.3388588010051725</v>
      </c>
      <c r="F17" s="296">
        <f t="shared" si="2"/>
        <v>1.6016576403015517</v>
      </c>
      <c r="G17" s="297">
        <f>Datos!$I$16*'FGP 30%'!E17%</f>
        <v>7919080.9606105294</v>
      </c>
      <c r="H17" s="292"/>
      <c r="I17" s="293"/>
    </row>
    <row r="18" spans="2:9" x14ac:dyDescent="0.25">
      <c r="B18" s="147" t="s">
        <v>55</v>
      </c>
      <c r="C18" s="294">
        <f t="shared" si="0"/>
        <v>1.0756742114845697</v>
      </c>
      <c r="D18" s="295"/>
      <c r="E18" s="296">
        <f t="shared" si="1"/>
        <v>4.3657127722216247</v>
      </c>
      <c r="F18" s="296">
        <f t="shared" si="2"/>
        <v>1.3097138316664874</v>
      </c>
      <c r="G18" s="297">
        <f>Datos!$I$16*'FGP 30%'!E18%</f>
        <v>6475622.2598517435</v>
      </c>
      <c r="H18" s="292"/>
      <c r="I18" s="293"/>
    </row>
    <row r="19" spans="2:9" x14ac:dyDescent="0.25">
      <c r="B19" s="147" t="s">
        <v>56</v>
      </c>
      <c r="C19" s="294">
        <f t="shared" si="0"/>
        <v>1.3289322229378038</v>
      </c>
      <c r="D19" s="295"/>
      <c r="E19" s="296">
        <f t="shared" si="1"/>
        <v>5.3935813624176214</v>
      </c>
      <c r="F19" s="296">
        <f t="shared" si="2"/>
        <v>1.6180744087252863</v>
      </c>
      <c r="G19" s="297">
        <f>Datos!$I$16*'FGP 30%'!E19%</f>
        <v>8000250.4408963872</v>
      </c>
      <c r="H19" s="292"/>
      <c r="I19" s="293"/>
    </row>
    <row r="20" spans="2:9" x14ac:dyDescent="0.25">
      <c r="B20" s="147" t="s">
        <v>57</v>
      </c>
      <c r="C20" s="294">
        <f t="shared" si="0"/>
        <v>0.96048800484796637</v>
      </c>
      <c r="D20" s="295"/>
      <c r="E20" s="296">
        <f t="shared" si="1"/>
        <v>3.8982200238334741</v>
      </c>
      <c r="F20" s="296">
        <f t="shared" si="2"/>
        <v>1.1694660071500422</v>
      </c>
      <c r="G20" s="297">
        <f>Datos!$I$16*'FGP 30%'!E20%</f>
        <v>5782194.4954225589</v>
      </c>
      <c r="H20" s="292"/>
      <c r="I20" s="293"/>
    </row>
    <row r="21" spans="2:9" x14ac:dyDescent="0.25">
      <c r="B21" s="147" t="s">
        <v>58</v>
      </c>
      <c r="C21" s="294">
        <f t="shared" si="0"/>
        <v>1.0548709531769955</v>
      </c>
      <c r="D21" s="295"/>
      <c r="E21" s="296">
        <f t="shared" si="1"/>
        <v>4.2812810274353881</v>
      </c>
      <c r="F21" s="296">
        <f t="shared" si="2"/>
        <v>1.2843843082306163</v>
      </c>
      <c r="G21" s="297">
        <f>Datos!$I$16*'FGP 30%'!E21%</f>
        <v>6350385.4166368721</v>
      </c>
      <c r="H21" s="292"/>
      <c r="I21" s="298"/>
    </row>
    <row r="22" spans="2:9" x14ac:dyDescent="0.25">
      <c r="B22" s="147" t="s">
        <v>59</v>
      </c>
      <c r="C22" s="294">
        <f t="shared" si="0"/>
        <v>0.92151387669711593</v>
      </c>
      <c r="D22" s="295"/>
      <c r="E22" s="296">
        <f t="shared" si="1"/>
        <v>3.7400403006071068</v>
      </c>
      <c r="F22" s="296">
        <f t="shared" si="2"/>
        <v>1.122012090182132</v>
      </c>
      <c r="G22" s="297">
        <f>Datos!$I$16*'FGP 30%'!E22%</f>
        <v>5547567.9429614348</v>
      </c>
      <c r="H22" s="292"/>
      <c r="I22" s="293"/>
    </row>
    <row r="23" spans="2:9" x14ac:dyDescent="0.25">
      <c r="B23" s="147" t="s">
        <v>60</v>
      </c>
      <c r="C23" s="294">
        <f t="shared" si="0"/>
        <v>0.97437713450258789</v>
      </c>
      <c r="D23" s="295"/>
      <c r="E23" s="296">
        <f t="shared" si="1"/>
        <v>3.9545902055119377</v>
      </c>
      <c r="F23" s="296">
        <f t="shared" si="2"/>
        <v>1.1863770616535814</v>
      </c>
      <c r="G23" s="297">
        <f>Datos!$I$16*'FGP 30%'!E23%</f>
        <v>5865807.8759435099</v>
      </c>
      <c r="H23" s="292"/>
      <c r="I23" s="293"/>
    </row>
    <row r="24" spans="2:9" x14ac:dyDescent="0.25">
      <c r="B24" s="147" t="s">
        <v>61</v>
      </c>
      <c r="C24" s="294">
        <f t="shared" si="0"/>
        <v>1.0128165793539592</v>
      </c>
      <c r="D24" s="295"/>
      <c r="E24" s="296">
        <f t="shared" si="1"/>
        <v>4.1105998723358113</v>
      </c>
      <c r="F24" s="296">
        <f t="shared" si="2"/>
        <v>1.2331799617007433</v>
      </c>
      <c r="G24" s="297">
        <f>Datos!$I$16*'FGP 30%'!E24%</f>
        <v>6097215.6033746097</v>
      </c>
      <c r="H24" s="292"/>
      <c r="I24" s="298"/>
    </row>
    <row r="25" spans="2:9" x14ac:dyDescent="0.25">
      <c r="B25" s="147" t="s">
        <v>62</v>
      </c>
      <c r="C25" s="294">
        <f t="shared" si="0"/>
        <v>0.95050666811508244</v>
      </c>
      <c r="D25" s="295"/>
      <c r="E25" s="296">
        <f t="shared" si="1"/>
        <v>3.8577099429991888</v>
      </c>
      <c r="F25" s="296">
        <f t="shared" si="2"/>
        <v>1.1573129828997566</v>
      </c>
      <c r="G25" s="297">
        <f>Datos!$I$16*'FGP 30%'!E25%</f>
        <v>5722106.259002598</v>
      </c>
      <c r="H25" s="292"/>
      <c r="I25" s="293"/>
    </row>
    <row r="26" spans="2:9" x14ac:dyDescent="0.25">
      <c r="B26" s="147" t="s">
        <v>63</v>
      </c>
      <c r="C26" s="294">
        <f t="shared" si="0"/>
        <v>0.73492049062369413</v>
      </c>
      <c r="D26" s="295"/>
      <c r="E26" s="296">
        <f t="shared" si="1"/>
        <v>2.9827356073314855</v>
      </c>
      <c r="F26" s="296">
        <f t="shared" si="2"/>
        <v>0.89482068219944566</v>
      </c>
      <c r="G26" s="297">
        <f>Datos!$I$16*'FGP 30%'!E26%</f>
        <v>4424264.7425151421</v>
      </c>
      <c r="H26" s="292"/>
      <c r="I26" s="298"/>
    </row>
    <row r="27" spans="2:9" x14ac:dyDescent="0.25">
      <c r="B27" s="147" t="s">
        <v>64</v>
      </c>
      <c r="C27" s="294">
        <f t="shared" si="0"/>
        <v>1.3718200730929384</v>
      </c>
      <c r="D27" s="295"/>
      <c r="E27" s="296">
        <f t="shared" si="1"/>
        <v>5.5676452501601643</v>
      </c>
      <c r="F27" s="296">
        <f t="shared" si="2"/>
        <v>1.6702935750480492</v>
      </c>
      <c r="G27" s="297">
        <f>Datos!$I$16*'FGP 30%'!E27%</f>
        <v>8258437.8308854792</v>
      </c>
      <c r="H27" s="292"/>
      <c r="I27" s="293"/>
    </row>
    <row r="28" spans="2:9" x14ac:dyDescent="0.25">
      <c r="B28" s="147" t="s">
        <v>65</v>
      </c>
      <c r="C28" s="294">
        <f t="shared" si="0"/>
        <v>1.4585529501970942</v>
      </c>
      <c r="D28" s="295"/>
      <c r="E28" s="296">
        <f t="shared" si="1"/>
        <v>5.9196578068454775</v>
      </c>
      <c r="F28" s="299">
        <f t="shared" si="2"/>
        <v>1.7758973420536432</v>
      </c>
      <c r="G28" s="359">
        <f>Datos!$I$16*'FGP 30%'!E28%</f>
        <v>8780574.8716736082</v>
      </c>
      <c r="H28" s="300"/>
      <c r="I28" s="293"/>
    </row>
    <row r="29" spans="2:9" x14ac:dyDescent="0.25">
      <c r="B29" s="149" t="s">
        <v>66</v>
      </c>
      <c r="C29" s="301">
        <f t="shared" ref="C29:E29" si="3">SUM(C9:C28)</f>
        <v>24.639142967190221</v>
      </c>
      <c r="D29" s="302"/>
      <c r="E29" s="303">
        <f t="shared" si="3"/>
        <v>100.00000000000004</v>
      </c>
      <c r="F29" s="304">
        <f>SUM(F9:F28)</f>
        <v>30</v>
      </c>
      <c r="G29" s="305">
        <f>SUM(G9:G28)</f>
        <v>148329095.33250004</v>
      </c>
    </row>
    <row r="30" spans="2:9" x14ac:dyDescent="0.25">
      <c r="B30" s="11"/>
      <c r="C30" s="11"/>
      <c r="D30" s="11"/>
    </row>
    <row r="31" spans="2:9" x14ac:dyDescent="0.25">
      <c r="B31" s="11" t="s">
        <v>200</v>
      </c>
      <c r="C31" s="11"/>
      <c r="D31" s="11"/>
    </row>
    <row r="34" spans="2:14" x14ac:dyDescent="0.25">
      <c r="B34" s="1016" t="s">
        <v>14</v>
      </c>
      <c r="C34" s="262"/>
      <c r="D34" s="261"/>
      <c r="E34" s="261"/>
      <c r="F34" s="1007">
        <v>2017</v>
      </c>
      <c r="G34" s="1008"/>
      <c r="H34" s="1009"/>
      <c r="I34" s="1007">
        <v>2018</v>
      </c>
      <c r="J34" s="1008"/>
      <c r="K34" s="1009"/>
      <c r="L34" s="79"/>
      <c r="M34" s="79"/>
      <c r="N34" s="79"/>
    </row>
    <row r="35" spans="2:14" x14ac:dyDescent="0.25">
      <c r="B35" s="1016"/>
      <c r="C35" s="259"/>
      <c r="D35" s="259"/>
      <c r="E35" s="259"/>
      <c r="F35" s="259" t="s">
        <v>168</v>
      </c>
      <c r="G35" s="259" t="s">
        <v>169</v>
      </c>
      <c r="H35" s="259" t="s">
        <v>170</v>
      </c>
      <c r="I35" s="259" t="s">
        <v>168</v>
      </c>
      <c r="J35" s="259" t="s">
        <v>169</v>
      </c>
      <c r="K35" s="259" t="s">
        <v>170</v>
      </c>
      <c r="L35" s="79"/>
      <c r="M35" s="79"/>
      <c r="N35" s="79"/>
    </row>
    <row r="36" spans="2:14" x14ac:dyDescent="0.25">
      <c r="B36" s="52" t="s">
        <v>148</v>
      </c>
      <c r="C36" s="252"/>
      <c r="D36" s="52"/>
      <c r="E36" s="52"/>
      <c r="F36" s="52">
        <v>4600138</v>
      </c>
      <c r="G36" s="52">
        <v>6164575</v>
      </c>
      <c r="H36" s="52">
        <f>SUM(F36:G36)</f>
        <v>10764713</v>
      </c>
      <c r="I36" s="52">
        <v>3847011</v>
      </c>
      <c r="J36" s="52">
        <v>7359180</v>
      </c>
      <c r="K36" s="252">
        <f t="shared" ref="K36:K55" si="4">I36+J36</f>
        <v>11206191</v>
      </c>
    </row>
    <row r="37" spans="2:14" x14ac:dyDescent="0.25">
      <c r="B37" s="52" t="s">
        <v>149</v>
      </c>
      <c r="C37" s="252"/>
      <c r="D37" s="52"/>
      <c r="E37" s="52"/>
      <c r="F37" s="52">
        <v>1868560</v>
      </c>
      <c r="G37" s="52">
        <v>4098808</v>
      </c>
      <c r="H37" s="52">
        <f t="shared" ref="H37:H55" si="5">SUM(F37:G37)</f>
        <v>5967368</v>
      </c>
      <c r="I37" s="52">
        <v>2203748</v>
      </c>
      <c r="J37" s="52">
        <v>4292333</v>
      </c>
      <c r="K37" s="252">
        <f>I37+J37</f>
        <v>6496081</v>
      </c>
    </row>
    <row r="38" spans="2:14" x14ac:dyDescent="0.25">
      <c r="B38" s="52" t="s">
        <v>150</v>
      </c>
      <c r="C38" s="252"/>
      <c r="D38" s="52"/>
      <c r="E38" s="52"/>
      <c r="F38" s="52">
        <v>272482</v>
      </c>
      <c r="G38" s="52">
        <v>801471</v>
      </c>
      <c r="H38" s="52">
        <f t="shared" si="5"/>
        <v>1073953</v>
      </c>
      <c r="I38" s="52">
        <v>2211427</v>
      </c>
      <c r="J38" s="52">
        <v>1095526</v>
      </c>
      <c r="K38" s="252">
        <f t="shared" si="4"/>
        <v>3306953</v>
      </c>
    </row>
    <row r="39" spans="2:14" x14ac:dyDescent="0.25">
      <c r="B39" s="52" t="s">
        <v>151</v>
      </c>
      <c r="C39" s="252"/>
      <c r="D39" s="52"/>
      <c r="E39" s="52"/>
      <c r="F39" s="52">
        <v>154339475</v>
      </c>
      <c r="G39" s="52">
        <v>114466230</v>
      </c>
      <c r="H39" s="52">
        <f t="shared" si="5"/>
        <v>268805705</v>
      </c>
      <c r="I39" s="52">
        <v>170774917</v>
      </c>
      <c r="J39" s="52">
        <v>122745095</v>
      </c>
      <c r="K39" s="252">
        <f>I39+J39</f>
        <v>293520012</v>
      </c>
    </row>
    <row r="40" spans="2:14" x14ac:dyDescent="0.25">
      <c r="B40" s="52" t="s">
        <v>152</v>
      </c>
      <c r="C40" s="252"/>
      <c r="D40" s="52"/>
      <c r="E40" s="52"/>
      <c r="F40" s="52">
        <v>15872814</v>
      </c>
      <c r="G40" s="52">
        <v>9610927</v>
      </c>
      <c r="H40" s="52">
        <f t="shared" si="5"/>
        <v>25483741</v>
      </c>
      <c r="I40" s="52">
        <v>15746604</v>
      </c>
      <c r="J40" s="52">
        <v>10379876</v>
      </c>
      <c r="K40" s="252">
        <f t="shared" si="4"/>
        <v>26126480</v>
      </c>
    </row>
    <row r="41" spans="2:14" x14ac:dyDescent="0.25">
      <c r="B41" s="52" t="s">
        <v>153</v>
      </c>
      <c r="C41" s="252"/>
      <c r="D41" s="52"/>
      <c r="E41" s="52"/>
      <c r="F41" s="52">
        <v>23315</v>
      </c>
      <c r="G41" s="52">
        <v>123172</v>
      </c>
      <c r="H41" s="52">
        <f t="shared" si="5"/>
        <v>146487</v>
      </c>
      <c r="I41" s="52">
        <v>33467</v>
      </c>
      <c r="J41" s="52">
        <v>82331</v>
      </c>
      <c r="K41" s="252">
        <f>I41+J41</f>
        <v>115798</v>
      </c>
    </row>
    <row r="42" spans="2:14" x14ac:dyDescent="0.25">
      <c r="B42" s="52" t="s">
        <v>154</v>
      </c>
      <c r="C42" s="252"/>
      <c r="D42" s="52"/>
      <c r="E42" s="52"/>
      <c r="F42" s="52">
        <v>10148</v>
      </c>
      <c r="G42" s="52">
        <v>27360</v>
      </c>
      <c r="H42" s="52">
        <f t="shared" si="5"/>
        <v>37508</v>
      </c>
      <c r="I42" s="52">
        <v>13603</v>
      </c>
      <c r="J42" s="52">
        <v>78610</v>
      </c>
      <c r="K42" s="252">
        <f>I42+J42</f>
        <v>92213</v>
      </c>
    </row>
    <row r="43" spans="2:14" x14ac:dyDescent="0.25">
      <c r="B43" s="52" t="s">
        <v>155</v>
      </c>
      <c r="C43" s="252"/>
      <c r="D43" s="52"/>
      <c r="E43" s="52"/>
      <c r="F43" s="52">
        <v>9995787</v>
      </c>
      <c r="G43" s="52">
        <v>2921966</v>
      </c>
      <c r="H43" s="52">
        <f t="shared" si="5"/>
        <v>12917753</v>
      </c>
      <c r="I43" s="52">
        <v>5696258</v>
      </c>
      <c r="J43" s="52">
        <v>5984263</v>
      </c>
      <c r="K43" s="252">
        <f t="shared" si="4"/>
        <v>11680521</v>
      </c>
    </row>
    <row r="44" spans="2:14" x14ac:dyDescent="0.25">
      <c r="B44" s="52" t="s">
        <v>156</v>
      </c>
      <c r="C44" s="252"/>
      <c r="D44" s="52"/>
      <c r="E44" s="52"/>
      <c r="F44" s="52">
        <v>1515005</v>
      </c>
      <c r="G44" s="52">
        <v>1085491</v>
      </c>
      <c r="H44" s="52">
        <f t="shared" si="5"/>
        <v>2600496</v>
      </c>
      <c r="I44" s="52">
        <v>2229122</v>
      </c>
      <c r="J44" s="52">
        <v>1191698</v>
      </c>
      <c r="K44" s="252">
        <f t="shared" si="4"/>
        <v>3420820</v>
      </c>
    </row>
    <row r="45" spans="2:14" x14ac:dyDescent="0.25">
      <c r="B45" s="52" t="s">
        <v>157</v>
      </c>
      <c r="C45" s="252"/>
      <c r="D45" s="52"/>
      <c r="E45" s="52"/>
      <c r="F45" s="52">
        <v>2011785</v>
      </c>
      <c r="G45" s="52">
        <v>188489</v>
      </c>
      <c r="H45" s="52">
        <f t="shared" si="5"/>
        <v>2200274</v>
      </c>
      <c r="I45" s="52">
        <v>2096151</v>
      </c>
      <c r="J45" s="52">
        <v>270627</v>
      </c>
      <c r="K45" s="252">
        <f>I45+J45</f>
        <v>2366778</v>
      </c>
    </row>
    <row r="46" spans="2:14" x14ac:dyDescent="0.25">
      <c r="B46" s="52" t="s">
        <v>158</v>
      </c>
      <c r="C46" s="252"/>
      <c r="D46" s="52"/>
      <c r="E46" s="52"/>
      <c r="F46" s="52">
        <v>1207189</v>
      </c>
      <c r="G46" s="52">
        <v>552064</v>
      </c>
      <c r="H46" s="52">
        <f t="shared" si="5"/>
        <v>1759253</v>
      </c>
      <c r="I46" s="52">
        <v>1480024</v>
      </c>
      <c r="J46" s="52">
        <v>857904</v>
      </c>
      <c r="K46" s="252">
        <f t="shared" si="4"/>
        <v>2337928</v>
      </c>
    </row>
    <row r="47" spans="2:14" x14ac:dyDescent="0.25">
      <c r="B47" s="52" t="s">
        <v>159</v>
      </c>
      <c r="C47" s="252"/>
      <c r="D47" s="52"/>
      <c r="E47" s="52"/>
      <c r="F47" s="52">
        <v>443946</v>
      </c>
      <c r="G47" s="52">
        <v>2361354</v>
      </c>
      <c r="H47" s="52">
        <f t="shared" si="5"/>
        <v>2805300</v>
      </c>
      <c r="I47" s="52">
        <v>532672</v>
      </c>
      <c r="J47" s="52">
        <v>2161785</v>
      </c>
      <c r="K47" s="252">
        <f t="shared" si="4"/>
        <v>2694457</v>
      </c>
    </row>
    <row r="48" spans="2:14" x14ac:dyDescent="0.25">
      <c r="B48" s="52" t="s">
        <v>160</v>
      </c>
      <c r="C48" s="252"/>
      <c r="D48" s="52"/>
      <c r="E48" s="52"/>
      <c r="F48" s="52">
        <v>4722861</v>
      </c>
      <c r="G48" s="52">
        <v>1595892</v>
      </c>
      <c r="H48" s="52">
        <f t="shared" si="5"/>
        <v>6318753</v>
      </c>
      <c r="I48" s="52">
        <v>4431219</v>
      </c>
      <c r="J48" s="52">
        <v>2234250</v>
      </c>
      <c r="K48" s="252">
        <f t="shared" si="4"/>
        <v>6665469</v>
      </c>
    </row>
    <row r="49" spans="2:11" x14ac:dyDescent="0.25">
      <c r="B49" s="52" t="s">
        <v>161</v>
      </c>
      <c r="C49" s="252"/>
      <c r="D49" s="52"/>
      <c r="E49" s="52"/>
      <c r="F49" s="52">
        <v>878681</v>
      </c>
      <c r="G49" s="52">
        <v>1097834</v>
      </c>
      <c r="H49" s="52">
        <f t="shared" si="5"/>
        <v>1976515</v>
      </c>
      <c r="I49" s="52">
        <v>1074974</v>
      </c>
      <c r="J49" s="52">
        <v>746412</v>
      </c>
      <c r="K49" s="252">
        <f>I49+J49</f>
        <v>1821386</v>
      </c>
    </row>
    <row r="50" spans="2:11" x14ac:dyDescent="0.25">
      <c r="B50" s="52" t="s">
        <v>162</v>
      </c>
      <c r="C50" s="252"/>
      <c r="D50" s="52"/>
      <c r="E50" s="52"/>
      <c r="F50" s="52">
        <v>2361650</v>
      </c>
      <c r="G50" s="52">
        <v>2335873</v>
      </c>
      <c r="H50" s="52">
        <f t="shared" si="5"/>
        <v>4697523</v>
      </c>
      <c r="I50" s="52">
        <v>2058103</v>
      </c>
      <c r="J50" s="52">
        <v>2519056</v>
      </c>
      <c r="K50" s="252">
        <f t="shared" si="4"/>
        <v>4577159</v>
      </c>
    </row>
    <row r="51" spans="2:11" x14ac:dyDescent="0.25">
      <c r="B51" s="52" t="s">
        <v>163</v>
      </c>
      <c r="C51" s="252"/>
      <c r="D51" s="52"/>
      <c r="E51" s="52"/>
      <c r="F51" s="52">
        <v>4200863</v>
      </c>
      <c r="G51" s="52">
        <v>11809025</v>
      </c>
      <c r="H51" s="52">
        <f t="shared" si="5"/>
        <v>16009888</v>
      </c>
      <c r="I51" s="52">
        <v>4902160</v>
      </c>
      <c r="J51" s="52">
        <v>11312920</v>
      </c>
      <c r="K51" s="252">
        <f t="shared" si="4"/>
        <v>16215080</v>
      </c>
    </row>
    <row r="52" spans="2:11" x14ac:dyDescent="0.25">
      <c r="B52" s="52" t="s">
        <v>164</v>
      </c>
      <c r="C52" s="252"/>
      <c r="D52" s="52"/>
      <c r="E52" s="52"/>
      <c r="F52" s="52">
        <v>2916876</v>
      </c>
      <c r="G52" s="52">
        <v>1649032</v>
      </c>
      <c r="H52" s="52">
        <f t="shared" si="5"/>
        <v>4565908</v>
      </c>
      <c r="I52" s="52">
        <v>2588653</v>
      </c>
      <c r="J52" s="52">
        <v>1751273</v>
      </c>
      <c r="K52" s="252">
        <f t="shared" si="4"/>
        <v>4339926</v>
      </c>
    </row>
    <row r="53" spans="2:11" s="308" customFormat="1" x14ac:dyDescent="0.25">
      <c r="B53" s="306" t="s">
        <v>165</v>
      </c>
      <c r="C53" s="307"/>
      <c r="D53" s="306"/>
      <c r="E53" s="306"/>
      <c r="F53" s="52">
        <v>54817026</v>
      </c>
      <c r="G53" s="52">
        <v>285002518</v>
      </c>
      <c r="H53" s="52">
        <f t="shared" si="5"/>
        <v>339819544</v>
      </c>
      <c r="I53" s="52">
        <v>68254405</v>
      </c>
      <c r="J53" s="52">
        <v>181485941</v>
      </c>
      <c r="K53" s="307">
        <f>I53+J53</f>
        <v>249740346</v>
      </c>
    </row>
    <row r="54" spans="2:11" x14ac:dyDescent="0.25">
      <c r="B54" s="52" t="s">
        <v>166</v>
      </c>
      <c r="C54" s="252"/>
      <c r="D54" s="52"/>
      <c r="E54" s="52"/>
      <c r="F54" s="52">
        <v>824105</v>
      </c>
      <c r="G54" s="52">
        <v>1076489</v>
      </c>
      <c r="H54" s="52">
        <f t="shared" si="5"/>
        <v>1900594</v>
      </c>
      <c r="I54" s="52">
        <v>1341794</v>
      </c>
      <c r="J54" s="52">
        <v>1265479</v>
      </c>
      <c r="K54" s="252">
        <f t="shared" si="4"/>
        <v>2607273</v>
      </c>
    </row>
    <row r="55" spans="2:11" x14ac:dyDescent="0.25">
      <c r="B55" s="52" t="s">
        <v>167</v>
      </c>
      <c r="C55" s="252"/>
      <c r="D55" s="52"/>
      <c r="E55" s="52"/>
      <c r="F55" s="52">
        <v>8125909</v>
      </c>
      <c r="G55" s="52">
        <v>17789868</v>
      </c>
      <c r="H55" s="52">
        <f t="shared" si="5"/>
        <v>25915777</v>
      </c>
      <c r="I55" s="52">
        <v>10345095</v>
      </c>
      <c r="J55" s="52">
        <v>27454438</v>
      </c>
      <c r="K55" s="252">
        <f t="shared" si="4"/>
        <v>37799533</v>
      </c>
    </row>
    <row r="56" spans="2:11" x14ac:dyDescent="0.25">
      <c r="B56" s="149" t="s">
        <v>66</v>
      </c>
      <c r="C56" s="252"/>
      <c r="D56" s="252"/>
      <c r="E56" s="252"/>
      <c r="F56" s="252">
        <f>SUM(F36:F55)</f>
        <v>271008615</v>
      </c>
      <c r="G56" s="252">
        <f>SUM(G36:G55)</f>
        <v>464758438</v>
      </c>
      <c r="H56" s="309">
        <f>SUM(H36:H55)</f>
        <v>735767053</v>
      </c>
      <c r="I56" s="252">
        <f>SUM(I36:I55)</f>
        <v>301861407</v>
      </c>
      <c r="J56" s="252">
        <f>SUM(J36:J55)</f>
        <v>385268997</v>
      </c>
      <c r="K56" s="252">
        <f>I56+J56</f>
        <v>687130404</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11"/>
      <c r="C2" s="11"/>
      <c r="D2" s="11"/>
      <c r="E2" s="11"/>
      <c r="F2" s="11"/>
      <c r="G2" s="11"/>
      <c r="H2" s="11"/>
      <c r="I2" s="11"/>
      <c r="J2" s="11"/>
      <c r="K2" s="79"/>
      <c r="L2" s="79"/>
      <c r="M2" s="258" t="s">
        <v>222</v>
      </c>
      <c r="N2" s="11"/>
      <c r="O2" s="11"/>
      <c r="P2" s="11"/>
      <c r="Q2" s="11"/>
      <c r="R2" s="11"/>
      <c r="S2" s="11"/>
      <c r="T2" s="11"/>
      <c r="U2" s="11"/>
    </row>
    <row r="3" spans="2:21" x14ac:dyDescent="0.25">
      <c r="B3" s="806" t="s">
        <v>0</v>
      </c>
      <c r="C3" s="806"/>
      <c r="D3" s="806"/>
      <c r="E3" s="806"/>
      <c r="F3" s="806"/>
      <c r="G3" s="806"/>
      <c r="H3" s="806"/>
      <c r="I3" s="806"/>
      <c r="J3" s="806"/>
      <c r="K3" s="806"/>
      <c r="L3" s="806"/>
      <c r="M3" s="806"/>
      <c r="N3" s="11"/>
      <c r="O3" s="11"/>
      <c r="P3" s="11"/>
      <c r="Q3" s="11"/>
      <c r="R3" s="11"/>
      <c r="S3" s="11"/>
      <c r="T3" s="11"/>
      <c r="U3" s="11"/>
    </row>
    <row r="4" spans="2:21" ht="15.75" thickBot="1" x14ac:dyDescent="0.3">
      <c r="B4" s="860" t="s">
        <v>223</v>
      </c>
      <c r="C4" s="860"/>
      <c r="D4" s="860"/>
      <c r="E4" s="860"/>
      <c r="F4" s="860"/>
      <c r="G4" s="860"/>
      <c r="H4" s="860"/>
      <c r="I4" s="860"/>
      <c r="J4" s="860"/>
      <c r="K4" s="860"/>
      <c r="L4" s="860"/>
      <c r="M4" s="860"/>
      <c r="N4" s="11"/>
      <c r="O4" s="11"/>
      <c r="P4" s="11"/>
      <c r="Q4" s="11"/>
      <c r="R4" s="11"/>
      <c r="S4" s="11"/>
      <c r="T4" s="11"/>
      <c r="U4" s="11"/>
    </row>
    <row r="5" spans="2:21" x14ac:dyDescent="0.25">
      <c r="B5" s="1023" t="s">
        <v>85</v>
      </c>
      <c r="C5" s="1025" t="s">
        <v>224</v>
      </c>
      <c r="D5" s="1025"/>
      <c r="E5" s="1025" t="s">
        <v>225</v>
      </c>
      <c r="F5" s="1025"/>
      <c r="G5" s="310" t="s">
        <v>226</v>
      </c>
      <c r="H5" s="310" t="s">
        <v>139</v>
      </c>
      <c r="I5" s="311"/>
      <c r="J5" s="311"/>
      <c r="K5" s="311" t="s">
        <v>30</v>
      </c>
      <c r="L5" s="311" t="s">
        <v>23</v>
      </c>
      <c r="M5" s="312" t="s">
        <v>84</v>
      </c>
      <c r="N5" s="151"/>
      <c r="O5" s="151"/>
      <c r="P5" s="151"/>
      <c r="Q5" s="157"/>
      <c r="R5" s="11"/>
      <c r="S5" s="11"/>
      <c r="T5" s="11"/>
      <c r="U5" s="11"/>
    </row>
    <row r="6" spans="2:21" x14ac:dyDescent="0.25">
      <c r="B6" s="1024"/>
      <c r="C6" s="1016" t="s">
        <v>70</v>
      </c>
      <c r="D6" s="1016"/>
      <c r="E6" s="1026" t="s">
        <v>134</v>
      </c>
      <c r="F6" s="1026"/>
      <c r="G6" s="280" t="s">
        <v>227</v>
      </c>
      <c r="H6" s="280" t="s">
        <v>228</v>
      </c>
      <c r="I6" s="313"/>
      <c r="J6" s="313"/>
      <c r="K6" s="313" t="s">
        <v>36</v>
      </c>
      <c r="L6" s="313" t="s">
        <v>229</v>
      </c>
      <c r="M6" s="314" t="s">
        <v>230</v>
      </c>
      <c r="N6" s="151"/>
      <c r="O6" s="151"/>
      <c r="P6" s="151"/>
      <c r="Q6" s="157"/>
      <c r="R6" s="11"/>
      <c r="S6" s="121"/>
      <c r="T6" s="315"/>
      <c r="U6" s="11"/>
    </row>
    <row r="7" spans="2:21" x14ac:dyDescent="0.25">
      <c r="B7" s="1024"/>
      <c r="C7" s="263" t="s">
        <v>139</v>
      </c>
      <c r="D7" s="263" t="s">
        <v>231</v>
      </c>
      <c r="E7" s="259" t="s">
        <v>139</v>
      </c>
      <c r="F7" s="259" t="s">
        <v>232</v>
      </c>
      <c r="G7" s="280"/>
      <c r="H7" s="280" t="s">
        <v>233</v>
      </c>
      <c r="I7" s="313"/>
      <c r="J7" s="313"/>
      <c r="K7" s="313" t="s">
        <v>44</v>
      </c>
      <c r="L7" s="313" t="s">
        <v>43</v>
      </c>
      <c r="M7" s="314" t="s">
        <v>234</v>
      </c>
      <c r="N7" s="151"/>
      <c r="O7" s="151"/>
      <c r="P7" s="151"/>
      <c r="Q7" s="157"/>
      <c r="R7" s="11"/>
      <c r="S7" s="121"/>
      <c r="T7" s="315"/>
      <c r="U7" s="11"/>
    </row>
    <row r="8" spans="2:21" x14ac:dyDescent="0.25">
      <c r="B8" s="1024"/>
      <c r="C8" s="316" t="s">
        <v>235</v>
      </c>
      <c r="D8" s="316" t="s">
        <v>99</v>
      </c>
      <c r="E8" s="316" t="s">
        <v>73</v>
      </c>
      <c r="F8" s="316" t="s">
        <v>100</v>
      </c>
      <c r="G8" s="317" t="s">
        <v>147</v>
      </c>
      <c r="H8" s="317" t="s">
        <v>102</v>
      </c>
      <c r="I8" s="318"/>
      <c r="J8" s="318"/>
      <c r="K8" s="319"/>
      <c r="L8" s="319"/>
      <c r="M8" s="320"/>
      <c r="N8" s="11"/>
      <c r="O8" s="11"/>
      <c r="P8" s="11"/>
      <c r="Q8" s="11"/>
      <c r="R8" s="11"/>
      <c r="S8" s="121"/>
      <c r="T8" s="315"/>
      <c r="U8" s="11"/>
    </row>
    <row r="9" spans="2:21" x14ac:dyDescent="0.25">
      <c r="B9" s="154" t="s">
        <v>46</v>
      </c>
      <c r="C9" s="321" t="e">
        <f>#REF!</f>
        <v>#REF!</v>
      </c>
      <c r="D9" s="282" t="e">
        <f>#REF!</f>
        <v>#REF!</v>
      </c>
      <c r="E9" s="167">
        <v>6.3423828522887202</v>
      </c>
      <c r="F9" s="124">
        <f>'FGP 30%'!G9</f>
        <v>6266951.2342923349</v>
      </c>
      <c r="G9" s="146" t="e">
        <f t="shared" ref="G9:G28" si="0">D9+F9</f>
        <v>#REF!</v>
      </c>
      <c r="H9" s="281" t="e">
        <f>G9/G$29%</f>
        <v>#REF!</v>
      </c>
      <c r="I9" s="362">
        <v>212240.17867414959</v>
      </c>
      <c r="J9" s="322" t="e">
        <f>I9-G9</f>
        <v>#REF!</v>
      </c>
      <c r="K9" s="323" t="e">
        <f>J9-H9</f>
        <v>#REF!</v>
      </c>
      <c r="L9" s="324" t="e">
        <f>K9/K$29*100</f>
        <v>#REF!</v>
      </c>
      <c r="M9" s="325" t="e">
        <f>D9+F9+K9</f>
        <v>#REF!</v>
      </c>
      <c r="N9" s="315"/>
      <c r="O9" s="315"/>
      <c r="P9" s="315"/>
      <c r="Q9" s="315"/>
      <c r="R9" s="315"/>
      <c r="S9" s="121"/>
      <c r="T9" s="315"/>
      <c r="U9" s="326"/>
    </row>
    <row r="10" spans="2:21" x14ac:dyDescent="0.25">
      <c r="B10" s="154" t="s">
        <v>47</v>
      </c>
      <c r="C10" s="321" t="e">
        <f>#REF!</f>
        <v>#REF!</v>
      </c>
      <c r="D10" s="282" t="e">
        <f>#REF!</f>
        <v>#REF!</v>
      </c>
      <c r="E10" s="167">
        <v>4.8747369734108545</v>
      </c>
      <c r="F10" s="124">
        <f>'FGP 30%'!G10</f>
        <v>6553440.5020831181</v>
      </c>
      <c r="G10" s="148" t="e">
        <f t="shared" si="0"/>
        <v>#REF!</v>
      </c>
      <c r="H10" s="166" t="e">
        <f t="shared" ref="H10:H28" si="1">G10/G$29%</f>
        <v>#REF!</v>
      </c>
      <c r="I10" s="362">
        <v>145867.37344216814</v>
      </c>
      <c r="J10" s="322" t="e">
        <f t="shared" ref="J10:K28" si="2">I10-G10</f>
        <v>#REF!</v>
      </c>
      <c r="K10" s="323" t="e">
        <f t="shared" si="2"/>
        <v>#REF!</v>
      </c>
      <c r="L10" s="324" t="e">
        <f t="shared" ref="L10:L28" si="3">K10/K$29*100</f>
        <v>#REF!</v>
      </c>
      <c r="M10" s="327" t="e">
        <f t="shared" ref="M10:M28" si="4">D10+F10+K10</f>
        <v>#REF!</v>
      </c>
      <c r="N10" s="315"/>
      <c r="O10" s="315"/>
      <c r="P10" s="315"/>
      <c r="Q10" s="315"/>
      <c r="R10" s="315"/>
      <c r="S10" s="121"/>
      <c r="T10" s="315"/>
      <c r="U10" s="326"/>
    </row>
    <row r="11" spans="2:21" x14ac:dyDescent="0.25">
      <c r="B11" s="154" t="s">
        <v>48</v>
      </c>
      <c r="C11" s="321" t="e">
        <f>#REF!</f>
        <v>#REF!</v>
      </c>
      <c r="D11" s="282" t="e">
        <f>#REF!</f>
        <v>#REF!</v>
      </c>
      <c r="E11" s="167">
        <v>3.9787441024444163</v>
      </c>
      <c r="F11" s="124">
        <f>'FGP 30%'!G11</f>
        <v>18537172.761891469</v>
      </c>
      <c r="G11" s="148" t="e">
        <f t="shared" si="0"/>
        <v>#REF!</v>
      </c>
      <c r="H11" s="166" t="e">
        <f t="shared" si="1"/>
        <v>#REF!</v>
      </c>
      <c r="I11" s="362">
        <v>130448.22525879936</v>
      </c>
      <c r="J11" s="322" t="e">
        <f t="shared" si="2"/>
        <v>#REF!</v>
      </c>
      <c r="K11" s="323" t="e">
        <f t="shared" si="2"/>
        <v>#REF!</v>
      </c>
      <c r="L11" s="324" t="e">
        <f t="shared" si="3"/>
        <v>#REF!</v>
      </c>
      <c r="M11" s="327" t="e">
        <f t="shared" si="4"/>
        <v>#REF!</v>
      </c>
      <c r="N11" s="315"/>
      <c r="O11" s="315"/>
      <c r="P11" s="315"/>
      <c r="Q11" s="315"/>
      <c r="R11" s="315"/>
      <c r="S11" s="121"/>
      <c r="T11" s="315"/>
      <c r="U11" s="326"/>
    </row>
    <row r="12" spans="2:21" x14ac:dyDescent="0.25">
      <c r="B12" s="154" t="s">
        <v>49</v>
      </c>
      <c r="C12" s="321" t="e">
        <f>#REF!</f>
        <v>#REF!</v>
      </c>
      <c r="D12" s="282" t="e">
        <f>#REF!</f>
        <v>#REF!</v>
      </c>
      <c r="E12" s="167">
        <v>4.7794922547559926</v>
      </c>
      <c r="F12" s="124">
        <f>'FGP 30%'!G12</f>
        <v>6573550.220460752</v>
      </c>
      <c r="G12" s="148" t="e">
        <f t="shared" si="0"/>
        <v>#REF!</v>
      </c>
      <c r="H12" s="166" t="e">
        <f t="shared" si="1"/>
        <v>#REF!</v>
      </c>
      <c r="I12" s="362">
        <v>417649.23433316802</v>
      </c>
      <c r="J12" s="322" t="e">
        <f t="shared" si="2"/>
        <v>#REF!</v>
      </c>
      <c r="K12" s="323" t="e">
        <f t="shared" si="2"/>
        <v>#REF!</v>
      </c>
      <c r="L12" s="324" t="e">
        <f t="shared" si="3"/>
        <v>#REF!</v>
      </c>
      <c r="M12" s="327" t="e">
        <f t="shared" si="4"/>
        <v>#REF!</v>
      </c>
      <c r="N12" s="315"/>
      <c r="O12" s="315"/>
      <c r="P12" s="326"/>
      <c r="Q12" s="315"/>
      <c r="R12" s="326"/>
      <c r="S12" s="121"/>
      <c r="T12" s="315"/>
      <c r="U12" s="326"/>
    </row>
    <row r="13" spans="2:21" x14ac:dyDescent="0.25">
      <c r="B13" s="154" t="s">
        <v>50</v>
      </c>
      <c r="C13" s="321" t="e">
        <f>#REF!</f>
        <v>#REF!</v>
      </c>
      <c r="D13" s="282" t="e">
        <f>#REF!</f>
        <v>#REF!</v>
      </c>
      <c r="E13" s="167">
        <v>4.8396147698123535</v>
      </c>
      <c r="F13" s="124">
        <f>'FGP 30%'!G13</f>
        <v>6171894.1532518733</v>
      </c>
      <c r="G13" s="148" t="e">
        <f t="shared" si="0"/>
        <v>#REF!</v>
      </c>
      <c r="H13" s="166" t="e">
        <f t="shared" si="1"/>
        <v>#REF!</v>
      </c>
      <c r="I13" s="362">
        <v>277064.87231006427</v>
      </c>
      <c r="J13" s="322" t="e">
        <f t="shared" si="2"/>
        <v>#REF!</v>
      </c>
      <c r="K13" s="323" t="e">
        <f t="shared" si="2"/>
        <v>#REF!</v>
      </c>
      <c r="L13" s="324" t="e">
        <f t="shared" si="3"/>
        <v>#REF!</v>
      </c>
      <c r="M13" s="327" t="e">
        <f t="shared" si="4"/>
        <v>#REF!</v>
      </c>
      <c r="N13" s="315"/>
      <c r="O13" s="315"/>
      <c r="P13" s="315"/>
      <c r="Q13" s="315"/>
      <c r="R13" s="315"/>
      <c r="S13" s="121"/>
      <c r="T13" s="315"/>
      <c r="U13" s="326"/>
    </row>
    <row r="14" spans="2:21" x14ac:dyDescent="0.25">
      <c r="B14" s="154" t="s">
        <v>51</v>
      </c>
      <c r="C14" s="321" t="e">
        <f>#REF!</f>
        <v>#REF!</v>
      </c>
      <c r="D14" s="282" t="e">
        <f>#REF!</f>
        <v>#REF!</v>
      </c>
      <c r="E14" s="167">
        <v>4.8859352991166247</v>
      </c>
      <c r="F14" s="124">
        <f>'FGP 30%'!G14</f>
        <v>4758857.7593676737</v>
      </c>
      <c r="G14" s="148" t="e">
        <f t="shared" si="0"/>
        <v>#REF!</v>
      </c>
      <c r="H14" s="166" t="e">
        <f t="shared" si="1"/>
        <v>#REF!</v>
      </c>
      <c r="I14" s="362">
        <v>187736.37714703428</v>
      </c>
      <c r="J14" s="322" t="e">
        <f t="shared" si="2"/>
        <v>#REF!</v>
      </c>
      <c r="K14" s="323" t="e">
        <f t="shared" si="2"/>
        <v>#REF!</v>
      </c>
      <c r="L14" s="324" t="e">
        <f t="shared" si="3"/>
        <v>#REF!</v>
      </c>
      <c r="M14" s="327" t="e">
        <f t="shared" si="4"/>
        <v>#REF!</v>
      </c>
      <c r="N14" s="315"/>
      <c r="O14" s="315"/>
      <c r="P14" s="315"/>
      <c r="Q14" s="315"/>
      <c r="R14" s="315"/>
      <c r="S14" s="121"/>
      <c r="T14" s="315"/>
      <c r="U14" s="326"/>
    </row>
    <row r="15" spans="2:21" x14ac:dyDescent="0.25">
      <c r="B15" s="154" t="s">
        <v>52</v>
      </c>
      <c r="C15" s="321" t="e">
        <f>#REF!</f>
        <v>#REF!</v>
      </c>
      <c r="D15" s="282" t="e">
        <f>#REF!</f>
        <v>#REF!</v>
      </c>
      <c r="E15" s="167">
        <v>4.009568855684738</v>
      </c>
      <c r="F15" s="124">
        <f>'FGP 30%'!G15</f>
        <v>14800248.058067862</v>
      </c>
      <c r="G15" s="148" t="e">
        <f t="shared" si="0"/>
        <v>#REF!</v>
      </c>
      <c r="H15" s="166" t="e">
        <f t="shared" si="1"/>
        <v>#REF!</v>
      </c>
      <c r="I15" s="362">
        <v>131008.64234565338</v>
      </c>
      <c r="J15" s="322" t="e">
        <f t="shared" si="2"/>
        <v>#REF!</v>
      </c>
      <c r="K15" s="323" t="e">
        <f t="shared" si="2"/>
        <v>#REF!</v>
      </c>
      <c r="L15" s="324" t="e">
        <f t="shared" si="3"/>
        <v>#REF!</v>
      </c>
      <c r="M15" s="327" t="e">
        <f t="shared" si="4"/>
        <v>#REF!</v>
      </c>
      <c r="N15" s="315"/>
      <c r="O15" s="315"/>
      <c r="P15" s="315"/>
      <c r="Q15" s="315"/>
      <c r="R15" s="315"/>
      <c r="S15" s="121"/>
      <c r="T15" s="315"/>
      <c r="U15" s="326"/>
    </row>
    <row r="16" spans="2:21" x14ac:dyDescent="0.25">
      <c r="B16" s="154" t="s">
        <v>53</v>
      </c>
      <c r="C16" s="321" t="e">
        <f>#REF!</f>
        <v>#REF!</v>
      </c>
      <c r="D16" s="282" t="e">
        <f>#REF!</f>
        <v>#REF!</v>
      </c>
      <c r="E16" s="167">
        <v>7.5369203970102321</v>
      </c>
      <c r="F16" s="124">
        <f>'FGP 30%'!G16</f>
        <v>5443471.9433104908</v>
      </c>
      <c r="G16" s="148" t="e">
        <f t="shared" si="0"/>
        <v>#REF!</v>
      </c>
      <c r="H16" s="166" t="e">
        <f t="shared" si="1"/>
        <v>#REF!</v>
      </c>
      <c r="I16" s="362">
        <v>205355.35681466889</v>
      </c>
      <c r="J16" s="322" t="e">
        <f t="shared" si="2"/>
        <v>#REF!</v>
      </c>
      <c r="K16" s="323" t="e">
        <f t="shared" si="2"/>
        <v>#REF!</v>
      </c>
      <c r="L16" s="324" t="e">
        <f t="shared" si="3"/>
        <v>#REF!</v>
      </c>
      <c r="M16" s="327" t="e">
        <f t="shared" si="4"/>
        <v>#REF!</v>
      </c>
      <c r="N16" s="315"/>
      <c r="O16" s="315"/>
      <c r="P16" s="315"/>
      <c r="Q16" s="315"/>
      <c r="R16" s="315"/>
      <c r="S16" s="121"/>
      <c r="T16" s="315"/>
      <c r="U16" s="326"/>
    </row>
    <row r="17" spans="2:21" x14ac:dyDescent="0.25">
      <c r="B17" s="154" t="s">
        <v>54</v>
      </c>
      <c r="C17" s="321" t="e">
        <f>#REF!</f>
        <v>#REF!</v>
      </c>
      <c r="D17" s="282" t="e">
        <f>#REF!</f>
        <v>#REF!</v>
      </c>
      <c r="E17" s="167">
        <v>5.9361538809380185</v>
      </c>
      <c r="F17" s="124">
        <f>'FGP 30%'!G17</f>
        <v>7919080.9606105294</v>
      </c>
      <c r="G17" s="148" t="e">
        <f t="shared" si="0"/>
        <v>#REF!</v>
      </c>
      <c r="H17" s="166" t="e">
        <f t="shared" si="1"/>
        <v>#REF!</v>
      </c>
      <c r="I17" s="362">
        <v>162912.99120529165</v>
      </c>
      <c r="J17" s="322" t="e">
        <f t="shared" si="2"/>
        <v>#REF!</v>
      </c>
      <c r="K17" s="323" t="e">
        <f t="shared" si="2"/>
        <v>#REF!</v>
      </c>
      <c r="L17" s="324" t="e">
        <f t="shared" si="3"/>
        <v>#REF!</v>
      </c>
      <c r="M17" s="327" t="e">
        <f t="shared" si="4"/>
        <v>#REF!</v>
      </c>
      <c r="N17" s="315"/>
      <c r="O17" s="315"/>
      <c r="P17" s="315"/>
      <c r="Q17" s="315"/>
      <c r="R17" s="315"/>
      <c r="S17" s="121"/>
      <c r="T17" s="315"/>
      <c r="U17" s="326"/>
    </row>
    <row r="18" spans="2:21" x14ac:dyDescent="0.25">
      <c r="B18" s="154" t="s">
        <v>55</v>
      </c>
      <c r="C18" s="321" t="e">
        <f>#REF!</f>
        <v>#REF!</v>
      </c>
      <c r="D18" s="282" t="e">
        <f>#REF!</f>
        <v>#REF!</v>
      </c>
      <c r="E18" s="167">
        <v>4.8230792844533079</v>
      </c>
      <c r="F18" s="124">
        <f>'FGP 30%'!G18</f>
        <v>6475622.2598517435</v>
      </c>
      <c r="G18" s="148" t="e">
        <f t="shared" si="0"/>
        <v>#REF!</v>
      </c>
      <c r="H18" s="166" t="e">
        <f t="shared" si="1"/>
        <v>#REF!</v>
      </c>
      <c r="I18" s="362">
        <v>142227.96010683011</v>
      </c>
      <c r="J18" s="322" t="e">
        <f t="shared" si="2"/>
        <v>#REF!</v>
      </c>
      <c r="K18" s="323" t="e">
        <f t="shared" si="2"/>
        <v>#REF!</v>
      </c>
      <c r="L18" s="324" t="e">
        <f t="shared" si="3"/>
        <v>#REF!</v>
      </c>
      <c r="M18" s="327" t="e">
        <f t="shared" si="4"/>
        <v>#REF!</v>
      </c>
      <c r="N18" s="315"/>
      <c r="O18" s="315"/>
      <c r="P18" s="315"/>
      <c r="Q18" s="315"/>
      <c r="R18" s="315"/>
      <c r="S18" s="121"/>
      <c r="T18" s="315"/>
      <c r="U18" s="326"/>
    </row>
    <row r="19" spans="2:21" x14ac:dyDescent="0.25">
      <c r="B19" s="154" t="s">
        <v>56</v>
      </c>
      <c r="C19" s="321" t="e">
        <f>#REF!</f>
        <v>#REF!</v>
      </c>
      <c r="D19" s="282" t="e">
        <f>#REF!</f>
        <v>#REF!</v>
      </c>
      <c r="E19" s="167">
        <v>4.1063513873665975</v>
      </c>
      <c r="F19" s="124">
        <f>'FGP 30%'!G19</f>
        <v>8000250.4408963872</v>
      </c>
      <c r="G19" s="148" t="e">
        <f t="shared" si="0"/>
        <v>#REF!</v>
      </c>
      <c r="H19" s="166" t="e">
        <f t="shared" si="1"/>
        <v>#REF!</v>
      </c>
      <c r="I19" s="362">
        <v>178100.70770568217</v>
      </c>
      <c r="J19" s="322" t="e">
        <f t="shared" si="2"/>
        <v>#REF!</v>
      </c>
      <c r="K19" s="323" t="e">
        <f t="shared" si="2"/>
        <v>#REF!</v>
      </c>
      <c r="L19" s="324" t="e">
        <f t="shared" si="3"/>
        <v>#REF!</v>
      </c>
      <c r="M19" s="327" t="e">
        <f t="shared" si="4"/>
        <v>#REF!</v>
      </c>
      <c r="N19" s="315"/>
      <c r="O19" s="315"/>
      <c r="P19" s="315"/>
      <c r="Q19" s="315"/>
      <c r="R19" s="315"/>
      <c r="S19" s="121"/>
      <c r="T19" s="315"/>
      <c r="U19" s="326"/>
    </row>
    <row r="20" spans="2:21" x14ac:dyDescent="0.25">
      <c r="B20" s="154" t="s">
        <v>57</v>
      </c>
      <c r="C20" s="321" t="e">
        <f>#REF!</f>
        <v>#REF!</v>
      </c>
      <c r="D20" s="282" t="e">
        <f>#REF!</f>
        <v>#REF!</v>
      </c>
      <c r="E20" s="167">
        <v>5.2077346983143604</v>
      </c>
      <c r="F20" s="124">
        <f>'FGP 30%'!G20</f>
        <v>5782194.4954225589</v>
      </c>
      <c r="G20" s="148" t="e">
        <f t="shared" si="0"/>
        <v>#REF!</v>
      </c>
      <c r="H20" s="166" t="e">
        <f t="shared" si="1"/>
        <v>#REF!</v>
      </c>
      <c r="I20" s="362">
        <v>166912.25078355873</v>
      </c>
      <c r="J20" s="322" t="e">
        <f t="shared" si="2"/>
        <v>#REF!</v>
      </c>
      <c r="K20" s="323" t="e">
        <f t="shared" si="2"/>
        <v>#REF!</v>
      </c>
      <c r="L20" s="324" t="e">
        <f t="shared" si="3"/>
        <v>#REF!</v>
      </c>
      <c r="M20" s="327" t="e">
        <f t="shared" si="4"/>
        <v>#REF!</v>
      </c>
      <c r="N20" s="315"/>
      <c r="O20" s="315"/>
      <c r="P20" s="315"/>
      <c r="Q20" s="315"/>
      <c r="R20" s="315"/>
      <c r="S20" s="121"/>
      <c r="T20" s="315"/>
      <c r="U20" s="315"/>
    </row>
    <row r="21" spans="2:21" x14ac:dyDescent="0.25">
      <c r="B21" s="154" t="s">
        <v>58</v>
      </c>
      <c r="C21" s="321" t="e">
        <f>#REF!</f>
        <v>#REF!</v>
      </c>
      <c r="D21" s="282" t="e">
        <f>#REF!</f>
        <v>#REF!</v>
      </c>
      <c r="E21" s="167">
        <v>4.8186763914888475</v>
      </c>
      <c r="F21" s="124">
        <f>'FGP 30%'!G21</f>
        <v>6350385.4166368721</v>
      </c>
      <c r="G21" s="148" t="e">
        <f t="shared" si="0"/>
        <v>#REF!</v>
      </c>
      <c r="H21" s="166" t="e">
        <f t="shared" si="1"/>
        <v>#REF!</v>
      </c>
      <c r="I21" s="362">
        <v>208036.45988467679</v>
      </c>
      <c r="J21" s="322" t="e">
        <f t="shared" si="2"/>
        <v>#REF!</v>
      </c>
      <c r="K21" s="323" t="e">
        <f t="shared" si="2"/>
        <v>#REF!</v>
      </c>
      <c r="L21" s="324" t="e">
        <f t="shared" si="3"/>
        <v>#REF!</v>
      </c>
      <c r="M21" s="327" t="e">
        <f t="shared" si="4"/>
        <v>#REF!</v>
      </c>
      <c r="N21" s="315"/>
      <c r="O21" s="315"/>
      <c r="P21" s="315"/>
      <c r="Q21" s="315"/>
      <c r="R21" s="315"/>
      <c r="S21" s="121"/>
      <c r="T21" s="315"/>
      <c r="U21" s="315"/>
    </row>
    <row r="22" spans="2:21" x14ac:dyDescent="0.25">
      <c r="B22" s="154" t="s">
        <v>59</v>
      </c>
      <c r="C22" s="321" t="e">
        <f>#REF!</f>
        <v>#REF!</v>
      </c>
      <c r="D22" s="282" t="e">
        <f>#REF!</f>
        <v>#REF!</v>
      </c>
      <c r="E22" s="167">
        <v>2.9110739805529704</v>
      </c>
      <c r="F22" s="124">
        <f>'FGP 30%'!G22</f>
        <v>5547567.9429614348</v>
      </c>
      <c r="G22" s="148" t="e">
        <f t="shared" si="0"/>
        <v>#REF!</v>
      </c>
      <c r="H22" s="166" t="e">
        <f t="shared" si="1"/>
        <v>#REF!</v>
      </c>
      <c r="I22" s="362">
        <v>121434.25160385661</v>
      </c>
      <c r="J22" s="322" t="e">
        <f t="shared" si="2"/>
        <v>#REF!</v>
      </c>
      <c r="K22" s="323" t="e">
        <f t="shared" si="2"/>
        <v>#REF!</v>
      </c>
      <c r="L22" s="324" t="e">
        <f t="shared" si="3"/>
        <v>#REF!</v>
      </c>
      <c r="M22" s="327" t="e">
        <f t="shared" si="4"/>
        <v>#REF!</v>
      </c>
      <c r="N22" s="315"/>
      <c r="O22" s="315"/>
      <c r="P22" s="315"/>
      <c r="Q22" s="315"/>
      <c r="R22" s="315"/>
      <c r="S22" s="121"/>
      <c r="T22" s="315"/>
      <c r="U22" s="326"/>
    </row>
    <row r="23" spans="2:21" x14ac:dyDescent="0.25">
      <c r="B23" s="154" t="s">
        <v>60</v>
      </c>
      <c r="C23" s="321" t="e">
        <f>#REF!</f>
        <v>#REF!</v>
      </c>
      <c r="D23" s="282" t="e">
        <f>#REF!</f>
        <v>#REF!</v>
      </c>
      <c r="E23" s="167">
        <v>4.3304906658341711</v>
      </c>
      <c r="F23" s="124">
        <f>'FGP 30%'!G23</f>
        <v>5865807.8759435099</v>
      </c>
      <c r="G23" s="148" t="e">
        <f t="shared" si="0"/>
        <v>#REF!</v>
      </c>
      <c r="H23" s="166" t="e">
        <f t="shared" si="1"/>
        <v>#REF!</v>
      </c>
      <c r="I23" s="362">
        <v>154393.13551406987</v>
      </c>
      <c r="J23" s="322" t="e">
        <f t="shared" si="2"/>
        <v>#REF!</v>
      </c>
      <c r="K23" s="323" t="e">
        <f t="shared" si="2"/>
        <v>#REF!</v>
      </c>
      <c r="L23" s="324" t="e">
        <f t="shared" si="3"/>
        <v>#REF!</v>
      </c>
      <c r="M23" s="327" t="e">
        <f t="shared" si="4"/>
        <v>#REF!</v>
      </c>
      <c r="N23" s="315"/>
      <c r="O23" s="315"/>
      <c r="P23" s="315"/>
      <c r="Q23" s="315"/>
      <c r="R23" s="315"/>
      <c r="S23" s="121"/>
      <c r="T23" s="315"/>
      <c r="U23" s="326"/>
    </row>
    <row r="24" spans="2:21" x14ac:dyDescent="0.25">
      <c r="B24" s="154" t="s">
        <v>61</v>
      </c>
      <c r="C24" s="321" t="e">
        <f>#REF!</f>
        <v>#REF!</v>
      </c>
      <c r="D24" s="282" t="e">
        <f>#REF!</f>
        <v>#REF!</v>
      </c>
      <c r="E24" s="167">
        <v>5.3086882085256404</v>
      </c>
      <c r="F24" s="124">
        <f>'FGP 30%'!G24</f>
        <v>6097215.6033746097</v>
      </c>
      <c r="G24" s="148" t="e">
        <f t="shared" si="0"/>
        <v>#REF!</v>
      </c>
      <c r="H24" s="166" t="e">
        <f t="shared" si="1"/>
        <v>#REF!</v>
      </c>
      <c r="I24" s="362">
        <v>342815.93253579823</v>
      </c>
      <c r="J24" s="322" t="e">
        <f t="shared" si="2"/>
        <v>#REF!</v>
      </c>
      <c r="K24" s="323" t="e">
        <f t="shared" si="2"/>
        <v>#REF!</v>
      </c>
      <c r="L24" s="324" t="e">
        <f t="shared" si="3"/>
        <v>#REF!</v>
      </c>
      <c r="M24" s="327" t="e">
        <f t="shared" si="4"/>
        <v>#REF!</v>
      </c>
      <c r="N24" s="315"/>
      <c r="O24" s="315"/>
      <c r="P24" s="315"/>
      <c r="Q24" s="315"/>
      <c r="R24" s="326"/>
      <c r="S24" s="121"/>
      <c r="T24" s="315"/>
      <c r="U24" s="315"/>
    </row>
    <row r="25" spans="2:21" x14ac:dyDescent="0.25">
      <c r="B25" s="154" t="s">
        <v>62</v>
      </c>
      <c r="C25" s="321" t="e">
        <f>#REF!</f>
        <v>#REF!</v>
      </c>
      <c r="D25" s="282" t="e">
        <f>#REF!</f>
        <v>#REF!</v>
      </c>
      <c r="E25" s="167">
        <v>4.864796565169633</v>
      </c>
      <c r="F25" s="124">
        <f>'FGP 30%'!G25</f>
        <v>5722106.259002598</v>
      </c>
      <c r="G25" s="148" t="e">
        <f t="shared" si="0"/>
        <v>#REF!</v>
      </c>
      <c r="H25" s="166" t="e">
        <f t="shared" si="1"/>
        <v>#REF!</v>
      </c>
      <c r="I25" s="362">
        <v>200479.78722284615</v>
      </c>
      <c r="J25" s="322" t="e">
        <f t="shared" si="2"/>
        <v>#REF!</v>
      </c>
      <c r="K25" s="323" t="e">
        <f t="shared" si="2"/>
        <v>#REF!</v>
      </c>
      <c r="L25" s="324" t="e">
        <f t="shared" si="3"/>
        <v>#REF!</v>
      </c>
      <c r="M25" s="327" t="e">
        <f t="shared" si="4"/>
        <v>#REF!</v>
      </c>
      <c r="N25" s="315"/>
      <c r="O25" s="315"/>
      <c r="P25" s="315"/>
      <c r="Q25" s="315"/>
      <c r="R25" s="315"/>
      <c r="S25" s="121"/>
      <c r="T25" s="315"/>
      <c r="U25" s="326"/>
    </row>
    <row r="26" spans="2:21" x14ac:dyDescent="0.25">
      <c r="B26" s="154" t="s">
        <v>63</v>
      </c>
      <c r="C26" s="321" t="e">
        <f>#REF!</f>
        <v>#REF!</v>
      </c>
      <c r="D26" s="282" t="e">
        <f>#REF!</f>
        <v>#REF!</v>
      </c>
      <c r="E26" s="167">
        <v>5.7978942563195188</v>
      </c>
      <c r="F26" s="124">
        <f>'FGP 30%'!G26</f>
        <v>4424264.7425151421</v>
      </c>
      <c r="G26" s="148" t="e">
        <f t="shared" si="0"/>
        <v>#REF!</v>
      </c>
      <c r="H26" s="328" t="e">
        <f t="shared" si="1"/>
        <v>#REF!</v>
      </c>
      <c r="I26" s="362">
        <v>1123889.5444337416</v>
      </c>
      <c r="J26" s="322" t="e">
        <f t="shared" si="2"/>
        <v>#REF!</v>
      </c>
      <c r="K26" s="323" t="e">
        <f t="shared" si="2"/>
        <v>#REF!</v>
      </c>
      <c r="L26" s="324" t="e">
        <f t="shared" si="3"/>
        <v>#REF!</v>
      </c>
      <c r="M26" s="327" t="e">
        <f t="shared" si="4"/>
        <v>#REF!</v>
      </c>
      <c r="N26" s="315"/>
      <c r="O26" s="315"/>
      <c r="P26" s="326"/>
      <c r="Q26" s="315"/>
      <c r="R26" s="326"/>
      <c r="S26" s="121"/>
      <c r="T26" s="315"/>
      <c r="U26" s="315"/>
    </row>
    <row r="27" spans="2:21" x14ac:dyDescent="0.25">
      <c r="B27" s="154" t="s">
        <v>64</v>
      </c>
      <c r="C27" s="321" t="e">
        <f>#REF!</f>
        <v>#REF!</v>
      </c>
      <c r="D27" s="282" t="e">
        <f>#REF!</f>
        <v>#REF!</v>
      </c>
      <c r="E27" s="167">
        <v>4.8271447622480794</v>
      </c>
      <c r="F27" s="124">
        <f>'FGP 30%'!G27</f>
        <v>8258437.8308854792</v>
      </c>
      <c r="G27" s="148" t="e">
        <f t="shared" si="0"/>
        <v>#REF!</v>
      </c>
      <c r="H27" s="166" t="e">
        <f t="shared" si="1"/>
        <v>#REF!</v>
      </c>
      <c r="I27" s="362">
        <v>177060.44640841757</v>
      </c>
      <c r="J27" s="322" t="e">
        <f t="shared" si="2"/>
        <v>#REF!</v>
      </c>
      <c r="K27" s="323" t="e">
        <f t="shared" si="2"/>
        <v>#REF!</v>
      </c>
      <c r="L27" s="324" t="e">
        <f t="shared" si="3"/>
        <v>#REF!</v>
      </c>
      <c r="M27" s="327" t="e">
        <f t="shared" si="4"/>
        <v>#REF!</v>
      </c>
      <c r="N27" s="315"/>
      <c r="O27" s="315"/>
      <c r="P27" s="315"/>
      <c r="Q27" s="315"/>
      <c r="R27" s="315"/>
      <c r="S27" s="121"/>
      <c r="T27" s="315"/>
      <c r="U27" s="315"/>
    </row>
    <row r="28" spans="2:21" ht="15.75" thickBot="1" x14ac:dyDescent="0.3">
      <c r="B28" s="155" t="s">
        <v>65</v>
      </c>
      <c r="C28" s="329" t="e">
        <f>#REF!</f>
        <v>#REF!</v>
      </c>
      <c r="D28" s="330" t="e">
        <f>#REF!</f>
        <v>#REF!</v>
      </c>
      <c r="E28" s="331">
        <v>5.8205204142649469</v>
      </c>
      <c r="F28" s="332">
        <f>'FGP 30%'!G28</f>
        <v>8780574.8716736082</v>
      </c>
      <c r="G28" s="333" t="e">
        <f t="shared" si="0"/>
        <v>#REF!</v>
      </c>
      <c r="H28" s="334" t="e">
        <f t="shared" si="1"/>
        <v>#REF!</v>
      </c>
      <c r="I28" s="363">
        <v>236350.17226942629</v>
      </c>
      <c r="J28" s="335" t="e">
        <f t="shared" si="2"/>
        <v>#REF!</v>
      </c>
      <c r="K28" s="336" t="e">
        <f t="shared" si="2"/>
        <v>#REF!</v>
      </c>
      <c r="L28" s="337" t="e">
        <f t="shared" si="3"/>
        <v>#REF!</v>
      </c>
      <c r="M28" s="338" t="e">
        <f t="shared" si="4"/>
        <v>#REF!</v>
      </c>
      <c r="N28" s="315"/>
      <c r="O28" s="315"/>
      <c r="P28" s="315"/>
      <c r="Q28" s="315"/>
      <c r="R28" s="315"/>
      <c r="S28" s="121"/>
      <c r="T28" s="315"/>
      <c r="U28" s="326"/>
    </row>
    <row r="29" spans="2:21" ht="15.75" thickBot="1" x14ac:dyDescent="0.3">
      <c r="B29" s="339" t="s">
        <v>66</v>
      </c>
      <c r="C29" s="340" t="e">
        <f t="shared" ref="C29:M29" si="5">SUM(C9:C28)</f>
        <v>#REF!</v>
      </c>
      <c r="D29" s="341" t="e">
        <f t="shared" si="5"/>
        <v>#REF!</v>
      </c>
      <c r="E29" s="360">
        <f t="shared" si="5"/>
        <v>100.00000000000003</v>
      </c>
      <c r="F29" s="68">
        <f t="shared" si="5"/>
        <v>148329095.33250004</v>
      </c>
      <c r="G29" s="69" t="e">
        <f t="shared" si="5"/>
        <v>#REF!</v>
      </c>
      <c r="H29" s="361" t="e">
        <f>SUM(H9:H28)</f>
        <v>#REF!</v>
      </c>
      <c r="I29" s="342"/>
      <c r="J29" s="343" t="e">
        <f>SUM(J9:J28)</f>
        <v>#REF!</v>
      </c>
      <c r="K29" s="344" t="e">
        <f t="shared" si="5"/>
        <v>#REF!</v>
      </c>
      <c r="L29" s="345" t="e">
        <f>SUM(L9:L28)</f>
        <v>#REF!</v>
      </c>
      <c r="M29" s="346" t="e">
        <f t="shared" si="5"/>
        <v>#REF!</v>
      </c>
      <c r="N29" s="315"/>
      <c r="O29" s="315"/>
      <c r="P29" s="315"/>
      <c r="Q29" s="315"/>
      <c r="R29" s="315"/>
      <c r="S29" s="347"/>
      <c r="T29" s="315"/>
      <c r="U29" s="315"/>
    </row>
    <row r="30" spans="2:21" x14ac:dyDescent="0.25">
      <c r="B30" s="11" t="s">
        <v>236</v>
      </c>
      <c r="C30" s="11"/>
      <c r="D30" s="11"/>
      <c r="E30" s="11"/>
      <c r="F30" s="11"/>
      <c r="G30" s="11"/>
      <c r="H30" s="11"/>
      <c r="I30" s="11"/>
      <c r="J30" s="11"/>
      <c r="K30" s="79"/>
      <c r="L30" s="79"/>
      <c r="M30" s="315"/>
      <c r="N30" s="11"/>
      <c r="O30" s="11"/>
      <c r="P30" s="11"/>
      <c r="Q30" s="11"/>
      <c r="R30" s="11"/>
      <c r="S30" s="11"/>
      <c r="T30" s="11"/>
      <c r="U30" s="11"/>
    </row>
    <row r="31" spans="2:21" x14ac:dyDescent="0.25">
      <c r="B31" s="11" t="s">
        <v>237</v>
      </c>
      <c r="C31" s="11"/>
      <c r="D31" s="11"/>
      <c r="E31" s="11"/>
      <c r="F31" s="315"/>
      <c r="G31" s="11"/>
      <c r="H31" s="11"/>
      <c r="I31" s="11"/>
      <c r="J31" s="11"/>
      <c r="K31" s="79"/>
      <c r="L31" s="79"/>
      <c r="M31" s="11"/>
      <c r="N31" s="11"/>
      <c r="O31" s="11"/>
      <c r="P31" s="11"/>
      <c r="Q31" s="11"/>
      <c r="R31" s="11"/>
      <c r="S31" s="11"/>
      <c r="T31" s="11"/>
      <c r="U31" s="11"/>
    </row>
    <row r="32" spans="2:21" x14ac:dyDescent="0.25">
      <c r="B32" s="11"/>
      <c r="C32" s="11"/>
      <c r="D32" s="348"/>
      <c r="E32" s="11"/>
      <c r="F32" s="11"/>
      <c r="G32" s="11"/>
      <c r="H32" s="11"/>
      <c r="I32" s="139">
        <f>SUM(I9:I28)</f>
        <v>4921983.8999999026</v>
      </c>
      <c r="J32" s="11"/>
      <c r="K32" s="79"/>
      <c r="L32" s="79"/>
      <c r="M32" s="11"/>
      <c r="N32" s="11"/>
      <c r="O32" s="11"/>
      <c r="P32" s="11"/>
      <c r="Q32" s="11"/>
      <c r="R32" s="11"/>
      <c r="S32" s="11"/>
      <c r="T32" s="11"/>
      <c r="U32" s="11"/>
    </row>
    <row r="33" spans="2:6" hidden="1" x14ac:dyDescent="0.25">
      <c r="B33" s="11"/>
      <c r="C33" s="11"/>
      <c r="D33" s="11"/>
      <c r="E33" s="11"/>
      <c r="F33" s="11"/>
    </row>
    <row r="34" spans="2:6" hidden="1" x14ac:dyDescent="0.25">
      <c r="B34" s="944" t="s">
        <v>238</v>
      </c>
      <c r="C34" s="944"/>
      <c r="D34" s="944"/>
      <c r="E34" s="11"/>
      <c r="F34" s="11"/>
    </row>
    <row r="35" spans="2:6" ht="15" hidden="1" customHeight="1" x14ac:dyDescent="0.25">
      <c r="B35" s="1027" t="s">
        <v>239</v>
      </c>
      <c r="C35" s="782" t="s">
        <v>25</v>
      </c>
      <c r="D35" s="782"/>
      <c r="E35" s="11"/>
      <c r="F35" s="11"/>
    </row>
    <row r="36" spans="2:6" hidden="1" x14ac:dyDescent="0.25">
      <c r="B36" s="1027"/>
      <c r="C36" s="259" t="s">
        <v>240</v>
      </c>
      <c r="D36" s="259" t="s">
        <v>241</v>
      </c>
      <c r="E36" s="11"/>
      <c r="F36" s="11"/>
    </row>
    <row r="37" spans="2:6" hidden="1" x14ac:dyDescent="0.25">
      <c r="B37" s="349" t="s">
        <v>46</v>
      </c>
      <c r="C37" s="212">
        <v>29974.498347254703</v>
      </c>
      <c r="D37" s="212">
        <v>15215.818184990858</v>
      </c>
      <c r="E37" s="147"/>
      <c r="F37" s="148"/>
    </row>
    <row r="38" spans="2:6" hidden="1" x14ac:dyDescent="0.25">
      <c r="B38" s="349" t="s">
        <v>47</v>
      </c>
      <c r="C38" s="212">
        <v>52680.591327376627</v>
      </c>
      <c r="D38" s="212">
        <v>21399.49763849939</v>
      </c>
      <c r="E38" s="147"/>
      <c r="F38" s="148"/>
    </row>
    <row r="39" spans="2:6" hidden="1" x14ac:dyDescent="0.25">
      <c r="B39" s="349" t="s">
        <v>48</v>
      </c>
      <c r="C39" s="212">
        <v>98033.370647845295</v>
      </c>
      <c r="D39" s="212">
        <v>21647.119796160252</v>
      </c>
      <c r="E39" s="147"/>
      <c r="F39" s="148"/>
    </row>
    <row r="40" spans="2:6" hidden="1" x14ac:dyDescent="0.25">
      <c r="B40" s="349" t="s">
        <v>49</v>
      </c>
      <c r="C40" s="212">
        <v>21399.49763849939</v>
      </c>
      <c r="D40" s="212">
        <v>25965.384823886736</v>
      </c>
      <c r="E40" s="147"/>
      <c r="F40" s="148"/>
    </row>
    <row r="41" spans="2:6" hidden="1" x14ac:dyDescent="0.25">
      <c r="B41" s="349" t="s">
        <v>50</v>
      </c>
      <c r="C41" s="212">
        <v>25965.384823886736</v>
      </c>
      <c r="D41" s="212">
        <v>27212.070679317905</v>
      </c>
      <c r="E41" s="147"/>
      <c r="F41" s="148"/>
    </row>
    <row r="42" spans="2:6" hidden="1" x14ac:dyDescent="0.25">
      <c r="B42" s="349" t="s">
        <v>51</v>
      </c>
      <c r="C42" s="212">
        <v>37003.826900566906</v>
      </c>
      <c r="D42" s="212">
        <v>29974.498347254703</v>
      </c>
      <c r="E42" s="147"/>
      <c r="F42" s="148"/>
    </row>
    <row r="43" spans="2:6" hidden="1" x14ac:dyDescent="0.25">
      <c r="B43" s="349" t="s">
        <v>52</v>
      </c>
      <c r="C43" s="212">
        <v>79580.165950345632</v>
      </c>
      <c r="D43" s="212">
        <v>32584.151507048995</v>
      </c>
      <c r="E43" s="147"/>
      <c r="F43" s="148"/>
    </row>
    <row r="44" spans="2:6" hidden="1" x14ac:dyDescent="0.25">
      <c r="B44" s="349" t="s">
        <v>53</v>
      </c>
      <c r="C44" s="212">
        <v>33772.177205488624</v>
      </c>
      <c r="D44" s="212">
        <v>33772.177205488624</v>
      </c>
      <c r="E44" s="147"/>
      <c r="F44" s="148"/>
    </row>
    <row r="45" spans="2:6" hidden="1" x14ac:dyDescent="0.25">
      <c r="B45" s="349" t="s">
        <v>54</v>
      </c>
      <c r="C45" s="212">
        <v>45225.633132002353</v>
      </c>
      <c r="D45" s="212">
        <v>36708.177999525833</v>
      </c>
      <c r="E45" s="147"/>
      <c r="F45" s="148"/>
    </row>
    <row r="46" spans="2:6" hidden="1" x14ac:dyDescent="0.25">
      <c r="B46" s="349" t="s">
        <v>55</v>
      </c>
      <c r="C46" s="212">
        <v>63112.329754147126</v>
      </c>
      <c r="D46" s="212">
        <v>37003.826900566906</v>
      </c>
      <c r="E46" s="147"/>
      <c r="F46" s="148"/>
    </row>
    <row r="47" spans="2:6" hidden="1" x14ac:dyDescent="0.25">
      <c r="B47" s="349" t="s">
        <v>56</v>
      </c>
      <c r="C47" s="212">
        <v>39704.639733971853</v>
      </c>
      <c r="D47" s="212">
        <v>39704.639733971853</v>
      </c>
      <c r="E47" s="147"/>
      <c r="F47" s="148"/>
    </row>
    <row r="48" spans="2:6" hidden="1" x14ac:dyDescent="0.25">
      <c r="B48" s="349" t="s">
        <v>57</v>
      </c>
      <c r="C48" s="212">
        <v>44506.829771857942</v>
      </c>
      <c r="D48" s="212">
        <v>43192.395279627446</v>
      </c>
      <c r="E48" s="147"/>
      <c r="F48" s="148"/>
    </row>
    <row r="49" spans="2:12" hidden="1" x14ac:dyDescent="0.25">
      <c r="B49" s="349" t="s">
        <v>58</v>
      </c>
      <c r="C49" s="212">
        <v>32584.151507048995</v>
      </c>
      <c r="D49" s="212">
        <v>44506.829771857942</v>
      </c>
      <c r="E49" s="147"/>
      <c r="F49" s="148"/>
      <c r="G49" s="11"/>
      <c r="H49" s="11"/>
      <c r="I49" s="11"/>
      <c r="J49" s="11"/>
      <c r="K49" s="79"/>
      <c r="L49" s="79"/>
    </row>
    <row r="50" spans="2:12" hidden="1" x14ac:dyDescent="0.25">
      <c r="B50" s="349" t="s">
        <v>59</v>
      </c>
      <c r="C50" s="212">
        <v>268831.41005360917</v>
      </c>
      <c r="D50" s="212">
        <v>45225.633132002353</v>
      </c>
      <c r="E50" s="147"/>
      <c r="F50" s="148"/>
      <c r="G50" s="11"/>
      <c r="H50" s="11"/>
      <c r="I50" s="11"/>
      <c r="J50" s="11"/>
      <c r="K50" s="79"/>
      <c r="L50" s="79"/>
    </row>
    <row r="51" spans="2:12" hidden="1" x14ac:dyDescent="0.25">
      <c r="B51" s="349" t="s">
        <v>60</v>
      </c>
      <c r="C51" s="212">
        <v>46347.41126647652</v>
      </c>
      <c r="D51" s="212">
        <v>46347.41126647652</v>
      </c>
      <c r="E51" s="147"/>
      <c r="F51" s="148"/>
      <c r="G51" s="11"/>
      <c r="H51" s="11"/>
      <c r="I51" s="11"/>
      <c r="J51" s="11"/>
      <c r="K51" s="79"/>
      <c r="L51" s="79"/>
    </row>
    <row r="52" spans="2:12" hidden="1" x14ac:dyDescent="0.25">
      <c r="B52" s="349" t="s">
        <v>61</v>
      </c>
      <c r="C52" s="212">
        <v>21647.119796160252</v>
      </c>
      <c r="D52" s="212">
        <v>52680.591327376627</v>
      </c>
      <c r="E52" s="147"/>
      <c r="F52" s="148"/>
      <c r="G52" s="11"/>
      <c r="H52" s="11"/>
      <c r="I52" s="11"/>
      <c r="J52" s="11"/>
      <c r="K52" s="79"/>
      <c r="L52" s="79"/>
    </row>
    <row r="53" spans="2:12" hidden="1" x14ac:dyDescent="0.25">
      <c r="B53" s="349" t="s">
        <v>62</v>
      </c>
      <c r="C53" s="212">
        <v>36708.177999525833</v>
      </c>
      <c r="D53" s="212">
        <v>63112.329754147126</v>
      </c>
      <c r="E53" s="147"/>
      <c r="F53" s="148"/>
      <c r="G53" s="11"/>
      <c r="H53" s="11"/>
      <c r="I53" s="11"/>
      <c r="J53" s="11"/>
      <c r="K53" s="79"/>
      <c r="L53" s="79"/>
    </row>
    <row r="54" spans="2:12" hidden="1" x14ac:dyDescent="0.25">
      <c r="B54" s="349" t="s">
        <v>63</v>
      </c>
      <c r="C54" s="212">
        <v>15215.818184990858</v>
      </c>
      <c r="D54" s="212">
        <v>79580.165950345632</v>
      </c>
      <c r="E54" s="147"/>
      <c r="F54" s="148"/>
      <c r="G54" s="11"/>
      <c r="H54" s="11"/>
      <c r="I54" s="11"/>
      <c r="J54" s="11"/>
      <c r="K54" s="79"/>
      <c r="L54" s="79"/>
    </row>
    <row r="55" spans="2:12" hidden="1" x14ac:dyDescent="0.25">
      <c r="B55" s="349" t="s">
        <v>64</v>
      </c>
      <c r="C55" s="212">
        <v>43192.395279627446</v>
      </c>
      <c r="D55" s="212">
        <v>98033.370647845295</v>
      </c>
      <c r="E55" s="147"/>
      <c r="F55" s="148"/>
      <c r="G55" s="11"/>
      <c r="H55" s="11"/>
      <c r="I55" s="11"/>
      <c r="J55" s="11"/>
      <c r="K55" s="79"/>
      <c r="L55" s="79"/>
    </row>
    <row r="56" spans="2:12" hidden="1" x14ac:dyDescent="0.25">
      <c r="B56" s="349" t="s">
        <v>65</v>
      </c>
      <c r="C56" s="212">
        <v>27212.070679317905</v>
      </c>
      <c r="D56" s="212">
        <v>268831.41005360917</v>
      </c>
      <c r="E56" s="147"/>
      <c r="F56" s="148"/>
      <c r="G56" s="11"/>
      <c r="H56" s="11"/>
      <c r="I56" s="11"/>
      <c r="J56" s="11"/>
      <c r="K56" s="79"/>
      <c r="L56" s="79"/>
    </row>
    <row r="57" spans="2:12" hidden="1" x14ac:dyDescent="0.25">
      <c r="B57" s="349" t="s">
        <v>84</v>
      </c>
      <c r="C57" s="212">
        <f>SUM(C37:C56)</f>
        <v>1062697.5000000002</v>
      </c>
      <c r="D57" s="212">
        <f>SUM(D37:D56)</f>
        <v>1062697.5000000002</v>
      </c>
      <c r="E57" s="147"/>
      <c r="F57" s="157"/>
      <c r="G57" s="11"/>
      <c r="H57" s="11"/>
      <c r="I57" s="11"/>
      <c r="J57" s="11"/>
      <c r="K57" s="79"/>
      <c r="L57" s="79"/>
    </row>
    <row r="58" spans="2:12" hidden="1" x14ac:dyDescent="0.25">
      <c r="B58" s="11"/>
      <c r="C58" s="11"/>
      <c r="D58" s="11"/>
      <c r="E58" s="11"/>
      <c r="F58" s="11"/>
      <c r="G58" s="11"/>
      <c r="H58" s="11"/>
      <c r="I58" s="11"/>
      <c r="J58" s="11"/>
      <c r="K58" s="79"/>
      <c r="L58" s="79"/>
    </row>
    <row r="59" spans="2:12" x14ac:dyDescent="0.25">
      <c r="C59" s="11"/>
      <c r="D59" s="11"/>
      <c r="E59" s="11"/>
      <c r="F59" s="11"/>
      <c r="G59" s="11"/>
      <c r="H59" s="11"/>
      <c r="I59" s="11"/>
      <c r="J59" s="11"/>
      <c r="K59" s="79"/>
      <c r="L59" s="79"/>
    </row>
    <row r="60" spans="2:12" x14ac:dyDescent="0.25">
      <c r="B60" s="11"/>
      <c r="C60" s="11"/>
      <c r="D60" s="11"/>
      <c r="E60" s="11"/>
      <c r="F60" s="11"/>
      <c r="G60" s="11"/>
      <c r="H60" s="11"/>
      <c r="I60" s="11"/>
      <c r="J60" s="11"/>
      <c r="K60" s="79"/>
      <c r="L60" s="79"/>
    </row>
    <row r="61" spans="2:12" ht="15.75" hidden="1" x14ac:dyDescent="0.25">
      <c r="B61" s="770" t="s">
        <v>118</v>
      </c>
      <c r="C61" s="770"/>
      <c r="D61" s="770"/>
      <c r="E61" s="770"/>
      <c r="F61" s="770"/>
      <c r="G61" s="770"/>
      <c r="H61" s="770"/>
      <c r="I61" s="257"/>
      <c r="J61" s="257"/>
      <c r="K61" s="258"/>
      <c r="L61" s="258"/>
    </row>
    <row r="62" spans="2:12" hidden="1" x14ac:dyDescent="0.25">
      <c r="B62" s="11"/>
      <c r="C62" s="11"/>
      <c r="D62" s="11"/>
      <c r="E62" s="11"/>
      <c r="F62" s="11"/>
      <c r="G62" s="11"/>
      <c r="H62" s="11"/>
      <c r="I62" s="11"/>
      <c r="J62" s="11"/>
      <c r="K62" s="79"/>
      <c r="L62" s="79"/>
    </row>
    <row r="63" spans="2:12" hidden="1" x14ac:dyDescent="0.25">
      <c r="B63" s="1018" t="s">
        <v>85</v>
      </c>
      <c r="C63" s="108" t="s">
        <v>86</v>
      </c>
      <c r="D63" s="108" t="s">
        <v>21</v>
      </c>
      <c r="E63" s="140" t="s">
        <v>120</v>
      </c>
      <c r="F63" s="140" t="s">
        <v>84</v>
      </c>
      <c r="G63" s="108" t="s">
        <v>121</v>
      </c>
      <c r="H63" s="108" t="s">
        <v>122</v>
      </c>
      <c r="I63" s="260"/>
      <c r="J63" s="260"/>
      <c r="K63" s="79"/>
      <c r="L63" s="79"/>
    </row>
    <row r="64" spans="2:12" hidden="1" x14ac:dyDescent="0.25">
      <c r="B64" s="1019"/>
      <c r="C64" s="25" t="s">
        <v>91</v>
      </c>
      <c r="D64" s="25" t="s">
        <v>31</v>
      </c>
      <c r="E64" s="141" t="s">
        <v>124</v>
      </c>
      <c r="F64" s="141" t="s">
        <v>242</v>
      </c>
      <c r="G64" s="25" t="s">
        <v>126</v>
      </c>
      <c r="H64" s="25" t="s">
        <v>127</v>
      </c>
      <c r="I64" s="260"/>
      <c r="J64" s="260"/>
      <c r="K64" s="79"/>
      <c r="L64" s="79"/>
    </row>
    <row r="65" spans="2:10" hidden="1" x14ac:dyDescent="0.25">
      <c r="B65" s="1019"/>
      <c r="C65" s="142">
        <v>2014</v>
      </c>
      <c r="D65" s="142" t="s">
        <v>37</v>
      </c>
      <c r="E65" s="141">
        <v>2015</v>
      </c>
      <c r="F65" s="141" t="s">
        <v>131</v>
      </c>
      <c r="G65" s="25">
        <v>2014</v>
      </c>
      <c r="H65" s="25" t="s">
        <v>132</v>
      </c>
      <c r="I65" s="260"/>
      <c r="J65" s="260"/>
    </row>
    <row r="66" spans="2:10" hidden="1" x14ac:dyDescent="0.25">
      <c r="B66" s="1020"/>
      <c r="C66" s="143" t="s">
        <v>72</v>
      </c>
      <c r="D66" s="143" t="s">
        <v>99</v>
      </c>
      <c r="E66" s="143" t="s">
        <v>73</v>
      </c>
      <c r="F66" s="143" t="s">
        <v>100</v>
      </c>
      <c r="G66" s="143" t="s">
        <v>75</v>
      </c>
      <c r="H66" s="143" t="s">
        <v>102</v>
      </c>
      <c r="I66" s="165"/>
      <c r="J66" s="165"/>
    </row>
    <row r="67" spans="2:10" hidden="1" x14ac:dyDescent="0.25">
      <c r="B67" s="144" t="s">
        <v>46</v>
      </c>
      <c r="C67" s="145">
        <v>3.62</v>
      </c>
      <c r="D67" s="350">
        <f>[5]Datos!I$13*C67%</f>
        <v>35350314.182820007</v>
      </c>
      <c r="E67" s="315" t="e">
        <f>M9</f>
        <v>#REF!</v>
      </c>
      <c r="F67" s="174" t="e">
        <f>D67+E67</f>
        <v>#REF!</v>
      </c>
      <c r="G67" s="174" t="e">
        <f>F$87*C67%</f>
        <v>#REF!</v>
      </c>
      <c r="H67" s="351" t="e">
        <f>F67-G67</f>
        <v>#REF!</v>
      </c>
      <c r="I67" s="351"/>
      <c r="J67" s="351"/>
    </row>
    <row r="68" spans="2:10" hidden="1" x14ac:dyDescent="0.25">
      <c r="B68" s="147" t="s">
        <v>47</v>
      </c>
      <c r="C68" s="121">
        <v>2.4700000000000002</v>
      </c>
      <c r="D68" s="352">
        <f>[5]Datos!I$13*C68%</f>
        <v>24120241.997670002</v>
      </c>
      <c r="E68" s="315" t="e">
        <f t="shared" ref="E68:E87" si="6">M10</f>
        <v>#REF!</v>
      </c>
      <c r="F68" s="174" t="e">
        <f t="shared" ref="F68:F87" si="7">D68+E68</f>
        <v>#REF!</v>
      </c>
      <c r="G68" s="174" t="e">
        <f t="shared" ref="G68:G87" si="8">F$87*C68%</f>
        <v>#REF!</v>
      </c>
      <c r="H68" s="351" t="e">
        <f t="shared" ref="H68:H86" si="9">F68-G68</f>
        <v>#REF!</v>
      </c>
      <c r="I68" s="351"/>
      <c r="J68" s="351"/>
    </row>
    <row r="69" spans="2:10" hidden="1" x14ac:dyDescent="0.25">
      <c r="B69" s="147" t="s">
        <v>48</v>
      </c>
      <c r="C69" s="121">
        <v>2.33</v>
      </c>
      <c r="D69" s="352">
        <f>[5]Datos!I$13*C69%</f>
        <v>22753102.77513</v>
      </c>
      <c r="E69" s="315" t="e">
        <f t="shared" si="6"/>
        <v>#REF!</v>
      </c>
      <c r="F69" s="174" t="e">
        <f t="shared" si="7"/>
        <v>#REF!</v>
      </c>
      <c r="G69" s="174" t="e">
        <f t="shared" si="8"/>
        <v>#REF!</v>
      </c>
      <c r="H69" s="351" t="e">
        <f t="shared" si="9"/>
        <v>#REF!</v>
      </c>
      <c r="I69" s="351"/>
      <c r="J69" s="351"/>
    </row>
    <row r="70" spans="2:10" hidden="1" x14ac:dyDescent="0.25">
      <c r="B70" s="147" t="s">
        <v>49</v>
      </c>
      <c r="C70" s="121">
        <v>2.81</v>
      </c>
      <c r="D70" s="352">
        <f>[5]Datos!I$13*C70%</f>
        <v>27440437.252410002</v>
      </c>
      <c r="E70" s="315" t="e">
        <f t="shared" si="6"/>
        <v>#REF!</v>
      </c>
      <c r="F70" s="174" t="e">
        <f t="shared" si="7"/>
        <v>#REF!</v>
      </c>
      <c r="G70" s="174" t="e">
        <f t="shared" si="8"/>
        <v>#REF!</v>
      </c>
      <c r="H70" s="351" t="e">
        <f t="shared" si="9"/>
        <v>#REF!</v>
      </c>
      <c r="I70" s="351"/>
      <c r="J70" s="351"/>
    </row>
    <row r="71" spans="2:10" hidden="1" x14ac:dyDescent="0.25">
      <c r="B71" s="147" t="s">
        <v>50</v>
      </c>
      <c r="C71" s="121">
        <v>4.6399999999999997</v>
      </c>
      <c r="D71" s="352">
        <f>[5]Datos!I$13*C71%</f>
        <v>45310899.947039999</v>
      </c>
      <c r="E71" s="315" t="e">
        <f t="shared" si="6"/>
        <v>#REF!</v>
      </c>
      <c r="F71" s="174" t="e">
        <f t="shared" si="7"/>
        <v>#REF!</v>
      </c>
      <c r="G71" s="174" t="e">
        <f t="shared" si="8"/>
        <v>#REF!</v>
      </c>
      <c r="H71" s="351" t="e">
        <f t="shared" si="9"/>
        <v>#REF!</v>
      </c>
      <c r="I71" s="351"/>
      <c r="J71" s="351"/>
    </row>
    <row r="72" spans="2:10" hidden="1" x14ac:dyDescent="0.25">
      <c r="B72" s="147" t="s">
        <v>51</v>
      </c>
      <c r="C72" s="121">
        <v>1.5</v>
      </c>
      <c r="D72" s="352">
        <f>[5]Datos!I$13*C72%</f>
        <v>14647920.2415</v>
      </c>
      <c r="E72" s="315" t="e">
        <f t="shared" si="6"/>
        <v>#REF!</v>
      </c>
      <c r="F72" s="174" t="e">
        <f t="shared" si="7"/>
        <v>#REF!</v>
      </c>
      <c r="G72" s="174" t="e">
        <f t="shared" si="8"/>
        <v>#REF!</v>
      </c>
      <c r="H72" s="351" t="e">
        <f t="shared" si="9"/>
        <v>#REF!</v>
      </c>
      <c r="I72" s="351"/>
      <c r="J72" s="351"/>
    </row>
    <row r="73" spans="2:10" hidden="1" x14ac:dyDescent="0.25">
      <c r="B73" s="147" t="s">
        <v>52</v>
      </c>
      <c r="C73" s="121">
        <v>1.53</v>
      </c>
      <c r="D73" s="352">
        <f>[5]Datos!I$13*C73%</f>
        <v>14940878.646330001</v>
      </c>
      <c r="E73" s="315" t="e">
        <f t="shared" si="6"/>
        <v>#REF!</v>
      </c>
      <c r="F73" s="174" t="e">
        <f t="shared" si="7"/>
        <v>#REF!</v>
      </c>
      <c r="G73" s="174" t="e">
        <f t="shared" si="8"/>
        <v>#REF!</v>
      </c>
      <c r="H73" s="351" t="e">
        <f t="shared" si="9"/>
        <v>#REF!</v>
      </c>
      <c r="I73" s="351"/>
      <c r="J73" s="351"/>
    </row>
    <row r="74" spans="2:10" hidden="1" x14ac:dyDescent="0.25">
      <c r="B74" s="147" t="s">
        <v>53</v>
      </c>
      <c r="C74" s="121">
        <v>3.16</v>
      </c>
      <c r="D74" s="352">
        <f>[5]Datos!I$13*C74%</f>
        <v>30858285.308760002</v>
      </c>
      <c r="E74" s="315" t="e">
        <f t="shared" si="6"/>
        <v>#REF!</v>
      </c>
      <c r="F74" s="174" t="e">
        <f t="shared" si="7"/>
        <v>#REF!</v>
      </c>
      <c r="G74" s="174" t="e">
        <f t="shared" si="8"/>
        <v>#REF!</v>
      </c>
      <c r="H74" s="351" t="e">
        <f t="shared" si="9"/>
        <v>#REF!</v>
      </c>
      <c r="I74" s="351"/>
      <c r="J74" s="351"/>
    </row>
    <row r="75" spans="2:10" hidden="1" x14ac:dyDescent="0.25">
      <c r="B75" s="147" t="s">
        <v>54</v>
      </c>
      <c r="C75" s="121">
        <v>2.81</v>
      </c>
      <c r="D75" s="352">
        <f>[5]Datos!I$13*C75%</f>
        <v>27440437.252410002</v>
      </c>
      <c r="E75" s="315" t="e">
        <f t="shared" si="6"/>
        <v>#REF!</v>
      </c>
      <c r="F75" s="174" t="e">
        <f t="shared" si="7"/>
        <v>#REF!</v>
      </c>
      <c r="G75" s="174" t="e">
        <f t="shared" si="8"/>
        <v>#REF!</v>
      </c>
      <c r="H75" s="351" t="e">
        <f t="shared" si="9"/>
        <v>#REF!</v>
      </c>
      <c r="I75" s="351"/>
      <c r="J75" s="351"/>
    </row>
    <row r="76" spans="2:10" hidden="1" x14ac:dyDescent="0.25">
      <c r="B76" s="147" t="s">
        <v>55</v>
      </c>
      <c r="C76" s="121">
        <v>1.6</v>
      </c>
      <c r="D76" s="352">
        <f>[5]Datos!I$13*C76%</f>
        <v>15624448.2576</v>
      </c>
      <c r="E76" s="315" t="e">
        <f t="shared" si="6"/>
        <v>#REF!</v>
      </c>
      <c r="F76" s="174" t="e">
        <f t="shared" si="7"/>
        <v>#REF!</v>
      </c>
      <c r="G76" s="174" t="e">
        <f t="shared" si="8"/>
        <v>#REF!</v>
      </c>
      <c r="H76" s="351" t="e">
        <f t="shared" si="9"/>
        <v>#REF!</v>
      </c>
      <c r="I76" s="351"/>
      <c r="J76" s="351"/>
    </row>
    <row r="77" spans="2:10" hidden="1" x14ac:dyDescent="0.25">
      <c r="B77" s="147" t="s">
        <v>56</v>
      </c>
      <c r="C77" s="121">
        <v>2.84</v>
      </c>
      <c r="D77" s="352">
        <f>[5]Datos!I$13*C77%</f>
        <v>27733395.65724</v>
      </c>
      <c r="E77" s="315" t="e">
        <f t="shared" si="6"/>
        <v>#REF!</v>
      </c>
      <c r="F77" s="174" t="e">
        <f t="shared" si="7"/>
        <v>#REF!</v>
      </c>
      <c r="G77" s="174" t="e">
        <f t="shared" si="8"/>
        <v>#REF!</v>
      </c>
      <c r="H77" s="351" t="e">
        <f t="shared" si="9"/>
        <v>#REF!</v>
      </c>
      <c r="I77" s="351"/>
      <c r="J77" s="351"/>
    </row>
    <row r="78" spans="2:10" hidden="1" x14ac:dyDescent="0.25">
      <c r="B78" s="147" t="s">
        <v>57</v>
      </c>
      <c r="C78" s="121">
        <v>3.33</v>
      </c>
      <c r="D78" s="352">
        <f>[5]Datos!I$13*C78%</f>
        <v>32518382.936130002</v>
      </c>
      <c r="E78" s="315" t="e">
        <f t="shared" si="6"/>
        <v>#REF!</v>
      </c>
      <c r="F78" s="174" t="e">
        <f t="shared" si="7"/>
        <v>#REF!</v>
      </c>
      <c r="G78" s="174" t="e">
        <f t="shared" si="8"/>
        <v>#REF!</v>
      </c>
      <c r="H78" s="353" t="e">
        <f t="shared" si="9"/>
        <v>#REF!</v>
      </c>
      <c r="I78" s="353"/>
      <c r="J78" s="353"/>
    </row>
    <row r="79" spans="2:10" hidden="1" x14ac:dyDescent="0.25">
      <c r="B79" s="147" t="s">
        <v>58</v>
      </c>
      <c r="C79" s="121">
        <v>4.6900000000000004</v>
      </c>
      <c r="D79" s="352">
        <f>[5]Datos!I$13*C79%</f>
        <v>45799163.955090009</v>
      </c>
      <c r="E79" s="315" t="e">
        <f t="shared" si="6"/>
        <v>#REF!</v>
      </c>
      <c r="F79" s="174" t="e">
        <f t="shared" si="7"/>
        <v>#REF!</v>
      </c>
      <c r="G79" s="174" t="e">
        <f t="shared" si="8"/>
        <v>#REF!</v>
      </c>
      <c r="H79" s="353" t="e">
        <f t="shared" si="9"/>
        <v>#REF!</v>
      </c>
      <c r="I79" s="353"/>
      <c r="J79" s="353"/>
    </row>
    <row r="80" spans="2:10" hidden="1" x14ac:dyDescent="0.25">
      <c r="B80" s="147" t="s">
        <v>59</v>
      </c>
      <c r="C80" s="121">
        <v>2.13</v>
      </c>
      <c r="D80" s="352">
        <f>[5]Datos!I$13*C80%</f>
        <v>20800046.742929999</v>
      </c>
      <c r="E80" s="315" t="e">
        <f t="shared" si="6"/>
        <v>#REF!</v>
      </c>
      <c r="F80" s="174" t="e">
        <f t="shared" si="7"/>
        <v>#REF!</v>
      </c>
      <c r="G80" s="174" t="e">
        <f t="shared" si="8"/>
        <v>#REF!</v>
      </c>
      <c r="H80" s="351" t="e">
        <f t="shared" si="9"/>
        <v>#REF!</v>
      </c>
      <c r="I80" s="351"/>
      <c r="J80" s="351"/>
    </row>
    <row r="81" spans="2:10" hidden="1" x14ac:dyDescent="0.25">
      <c r="B81" s="147" t="s">
        <v>60</v>
      </c>
      <c r="C81" s="121">
        <v>2.81</v>
      </c>
      <c r="D81" s="352">
        <f>[5]Datos!I$13*C81%</f>
        <v>27440437.252410002</v>
      </c>
      <c r="E81" s="315" t="e">
        <f t="shared" si="6"/>
        <v>#REF!</v>
      </c>
      <c r="F81" s="174" t="e">
        <f t="shared" si="7"/>
        <v>#REF!</v>
      </c>
      <c r="G81" s="174" t="e">
        <f t="shared" si="8"/>
        <v>#REF!</v>
      </c>
      <c r="H81" s="351" t="e">
        <f t="shared" si="9"/>
        <v>#REF!</v>
      </c>
      <c r="I81" s="351"/>
      <c r="J81" s="351"/>
    </row>
    <row r="82" spans="2:10" hidden="1" x14ac:dyDescent="0.25">
      <c r="B82" s="147" t="s">
        <v>61</v>
      </c>
      <c r="C82" s="121">
        <v>8.34</v>
      </c>
      <c r="D82" s="352">
        <f>[5]Datos!I$13*C82%</f>
        <v>81442436.542740002</v>
      </c>
      <c r="E82" s="315" t="e">
        <f t="shared" si="6"/>
        <v>#REF!</v>
      </c>
      <c r="F82" s="174" t="e">
        <f t="shared" si="7"/>
        <v>#REF!</v>
      </c>
      <c r="G82" s="174" t="e">
        <f t="shared" si="8"/>
        <v>#REF!</v>
      </c>
      <c r="H82" s="353" t="e">
        <f t="shared" si="9"/>
        <v>#REF!</v>
      </c>
      <c r="I82" s="353"/>
      <c r="J82" s="353"/>
    </row>
    <row r="83" spans="2:10" hidden="1" x14ac:dyDescent="0.25">
      <c r="B83" s="147" t="s">
        <v>62</v>
      </c>
      <c r="C83" s="121">
        <v>3.5</v>
      </c>
      <c r="D83" s="352">
        <f>[5]Datos!I$13*C83%</f>
        <v>34178480.563500002</v>
      </c>
      <c r="E83" s="315" t="e">
        <f t="shared" si="6"/>
        <v>#REF!</v>
      </c>
      <c r="F83" s="174" t="e">
        <f t="shared" si="7"/>
        <v>#REF!</v>
      </c>
      <c r="G83" s="174" t="e">
        <f t="shared" si="8"/>
        <v>#REF!</v>
      </c>
      <c r="H83" s="351" t="e">
        <f t="shared" si="9"/>
        <v>#REF!</v>
      </c>
      <c r="I83" s="351"/>
      <c r="J83" s="351"/>
    </row>
    <row r="84" spans="2:10" hidden="1" x14ac:dyDescent="0.25">
      <c r="B84" s="147" t="s">
        <v>63</v>
      </c>
      <c r="C84" s="121">
        <v>39</v>
      </c>
      <c r="D84" s="352">
        <f>[5]Datos!I$13*C84%</f>
        <v>380845926.27900004</v>
      </c>
      <c r="E84" s="315" t="e">
        <f t="shared" si="6"/>
        <v>#REF!</v>
      </c>
      <c r="F84" s="174" t="e">
        <f t="shared" si="7"/>
        <v>#REF!</v>
      </c>
      <c r="G84" s="174" t="e">
        <f t="shared" si="8"/>
        <v>#REF!</v>
      </c>
      <c r="H84" s="353" t="e">
        <f t="shared" si="9"/>
        <v>#REF!</v>
      </c>
      <c r="I84" s="353"/>
      <c r="J84" s="353"/>
    </row>
    <row r="85" spans="2:10" hidden="1" x14ac:dyDescent="0.25">
      <c r="B85" s="147" t="s">
        <v>64</v>
      </c>
      <c r="C85" s="121">
        <v>3.79</v>
      </c>
      <c r="D85" s="352">
        <f>[5]Datos!I$13*C85%</f>
        <v>37010411.810190007</v>
      </c>
      <c r="E85" s="315" t="e">
        <f t="shared" si="6"/>
        <v>#REF!</v>
      </c>
      <c r="F85" s="174" t="e">
        <f t="shared" si="7"/>
        <v>#REF!</v>
      </c>
      <c r="G85" s="174" t="e">
        <f t="shared" si="8"/>
        <v>#REF!</v>
      </c>
      <c r="H85" s="353" t="e">
        <f t="shared" si="9"/>
        <v>#REF!</v>
      </c>
      <c r="I85" s="353"/>
      <c r="J85" s="353"/>
    </row>
    <row r="86" spans="2:10" hidden="1" x14ac:dyDescent="0.25">
      <c r="B86" s="147" t="s">
        <v>65</v>
      </c>
      <c r="C86" s="121">
        <v>3.1</v>
      </c>
      <c r="D86" s="352">
        <f>[5]Datos!I$13*C86%</f>
        <v>30272368.4991</v>
      </c>
      <c r="E86" s="315" t="e">
        <f t="shared" si="6"/>
        <v>#REF!</v>
      </c>
      <c r="F86" s="174" t="e">
        <f t="shared" si="7"/>
        <v>#REF!</v>
      </c>
      <c r="G86" s="174" t="e">
        <f t="shared" si="8"/>
        <v>#REF!</v>
      </c>
      <c r="H86" s="351" t="e">
        <f t="shared" si="9"/>
        <v>#REF!</v>
      </c>
      <c r="I86" s="351"/>
      <c r="J86" s="351"/>
    </row>
    <row r="87" spans="2:10" hidden="1" x14ac:dyDescent="0.25">
      <c r="B87" s="149" t="s">
        <v>66</v>
      </c>
      <c r="C87" s="150">
        <f>SUM(C67:C86)</f>
        <v>100</v>
      </c>
      <c r="D87" s="283">
        <f>SUM(D67:D86)</f>
        <v>976528016.0999999</v>
      </c>
      <c r="E87" s="354" t="e">
        <f t="shared" si="6"/>
        <v>#REF!</v>
      </c>
      <c r="F87" s="355" t="e">
        <f t="shared" si="7"/>
        <v>#REF!</v>
      </c>
      <c r="G87" s="355" t="e">
        <f t="shared" si="8"/>
        <v>#REF!</v>
      </c>
      <c r="H87" s="356">
        <v>0</v>
      </c>
      <c r="I87" s="357"/>
      <c r="J87" s="357"/>
    </row>
    <row r="88" spans="2:10" x14ac:dyDescent="0.25">
      <c r="B88" s="11"/>
      <c r="C88" s="11"/>
      <c r="D88" s="11"/>
      <c r="E88" s="11"/>
      <c r="F88" s="11"/>
      <c r="G88" s="11"/>
      <c r="H88" s="11"/>
      <c r="I88" s="11"/>
      <c r="J88" s="11"/>
    </row>
  </sheetData>
  <mergeCells count="12">
    <mergeCell ref="B34:D34"/>
    <mergeCell ref="B35:B36"/>
    <mergeCell ref="C35:D35"/>
    <mergeCell ref="B61:H61"/>
    <mergeCell ref="B63:B66"/>
    <mergeCell ref="B3:M3"/>
    <mergeCell ref="B4:M4"/>
    <mergeCell ref="B5:B8"/>
    <mergeCell ref="C5:D5"/>
    <mergeCell ref="E5:F5"/>
    <mergeCell ref="C6:D6"/>
    <mergeCell ref="E6:F6"/>
  </mergeCells>
  <pageMargins left="0.70866141732283472" right="0.70866141732283472" top="0.74803149606299213" bottom="0.74803149606299213" header="0.31496062992125984" footer="0.31496062992125984"/>
  <pageSetup scale="67"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H66"/>
  <sheetViews>
    <sheetView topLeftCell="B1" zoomScale="80" zoomScaleNormal="80" workbookViewId="0">
      <selection activeCell="B2" sqref="B2:Q2"/>
    </sheetView>
  </sheetViews>
  <sheetFormatPr baseColWidth="10" defaultRowHeight="15" x14ac:dyDescent="0.25"/>
  <cols>
    <col min="1" max="1" width="3.7109375" customWidth="1"/>
    <col min="2" max="2" width="3.5703125" style="106" customWidth="1"/>
    <col min="3" max="3" width="26.42578125" customWidth="1"/>
    <col min="4" max="4" width="15.42578125" style="44" customWidth="1"/>
    <col min="5" max="5" width="13.85546875" customWidth="1"/>
    <col min="6" max="6" width="16.5703125" bestFit="1" customWidth="1"/>
    <col min="7" max="7" width="15.28515625" bestFit="1" customWidth="1"/>
    <col min="8" max="8" width="16.5703125" style="6" bestFit="1" customWidth="1"/>
    <col min="9" max="9" width="16.5703125" customWidth="1"/>
    <col min="10" max="10" width="16.140625" customWidth="1"/>
    <col min="11" max="12" width="18.140625" style="6" customWidth="1"/>
    <col min="13" max="13" width="15.5703125" customWidth="1"/>
    <col min="14" max="14" width="13" bestFit="1" customWidth="1"/>
    <col min="15" max="15" width="18.140625" style="6"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s>
  <sheetData>
    <row r="1" spans="2:34" ht="18" x14ac:dyDescent="0.25">
      <c r="B1" s="872"/>
      <c r="C1" s="872"/>
      <c r="D1" s="872"/>
      <c r="E1" s="872"/>
      <c r="F1" s="872"/>
      <c r="G1" s="872"/>
      <c r="H1" s="872"/>
      <c r="I1" s="872"/>
      <c r="J1" s="872"/>
      <c r="K1" s="872"/>
      <c r="L1" s="872"/>
      <c r="M1" s="872"/>
      <c r="N1" s="872"/>
      <c r="O1" s="872"/>
      <c r="P1" s="872"/>
      <c r="Q1" s="872"/>
    </row>
    <row r="2" spans="2:34" x14ac:dyDescent="0.25">
      <c r="B2" s="871" t="s">
        <v>377</v>
      </c>
      <c r="C2" s="871"/>
      <c r="D2" s="871"/>
      <c r="E2" s="871"/>
      <c r="F2" s="871"/>
      <c r="G2" s="871"/>
      <c r="H2" s="871"/>
      <c r="I2" s="871"/>
      <c r="J2" s="871"/>
      <c r="K2" s="871"/>
      <c r="L2" s="871"/>
      <c r="M2" s="871"/>
      <c r="N2" s="871"/>
      <c r="O2" s="871"/>
      <c r="P2" s="871"/>
      <c r="Q2" s="871"/>
    </row>
    <row r="3" spans="2:34" ht="15.75" thickBot="1" x14ac:dyDescent="0.3">
      <c r="C3" s="388"/>
      <c r="D3" s="388"/>
      <c r="E3" s="388"/>
      <c r="F3" s="388"/>
      <c r="G3" s="388"/>
      <c r="H3" s="388"/>
      <c r="I3" s="388"/>
      <c r="J3" s="388"/>
      <c r="K3" s="388"/>
      <c r="L3" s="388"/>
      <c r="M3" s="388"/>
      <c r="N3" s="388"/>
      <c r="O3" s="388"/>
      <c r="P3" s="388"/>
    </row>
    <row r="4" spans="2:34" ht="15" customHeight="1" x14ac:dyDescent="0.25">
      <c r="B4" s="873" t="s">
        <v>83</v>
      </c>
      <c r="C4" s="853" t="s">
        <v>85</v>
      </c>
      <c r="D4" s="856">
        <v>2014</v>
      </c>
      <c r="E4" s="857"/>
      <c r="F4" s="856" t="s">
        <v>141</v>
      </c>
      <c r="G4" s="858"/>
      <c r="H4" s="857"/>
      <c r="I4" s="856" t="s">
        <v>142</v>
      </c>
      <c r="J4" s="858"/>
      <c r="K4" s="858"/>
      <c r="L4" s="857"/>
      <c r="M4" s="856" t="s">
        <v>30</v>
      </c>
      <c r="N4" s="858"/>
      <c r="O4" s="857"/>
      <c r="P4" s="109"/>
      <c r="Q4" s="876" t="s">
        <v>313</v>
      </c>
    </row>
    <row r="5" spans="2:34" ht="15" customHeight="1" x14ac:dyDescent="0.25">
      <c r="B5" s="874"/>
      <c r="C5" s="854"/>
      <c r="D5" s="861" t="s">
        <v>297</v>
      </c>
      <c r="E5" s="864" t="s">
        <v>298</v>
      </c>
      <c r="F5" s="501" t="s">
        <v>39</v>
      </c>
      <c r="G5" s="141" t="s">
        <v>146</v>
      </c>
      <c r="H5" s="506" t="s">
        <v>91</v>
      </c>
      <c r="I5" s="859" t="s">
        <v>88</v>
      </c>
      <c r="J5" s="860"/>
      <c r="K5" s="508" t="s">
        <v>212</v>
      </c>
      <c r="L5" s="883" t="s">
        <v>312</v>
      </c>
      <c r="M5" s="859" t="s">
        <v>265</v>
      </c>
      <c r="N5" s="860"/>
      <c r="O5" s="511" t="s">
        <v>89</v>
      </c>
      <c r="P5" s="110" t="s">
        <v>90</v>
      </c>
      <c r="Q5" s="877"/>
    </row>
    <row r="6" spans="2:34" x14ac:dyDescent="0.25">
      <c r="B6" s="874"/>
      <c r="C6" s="854"/>
      <c r="D6" s="862"/>
      <c r="E6" s="865"/>
      <c r="F6" s="501" t="s">
        <v>92</v>
      </c>
      <c r="G6" s="141"/>
      <c r="H6" s="502" t="s">
        <v>210</v>
      </c>
      <c r="I6" s="879">
        <v>2018</v>
      </c>
      <c r="J6" s="880"/>
      <c r="K6" s="429" t="s">
        <v>211</v>
      </c>
      <c r="L6" s="884"/>
      <c r="M6" s="881">
        <v>2018</v>
      </c>
      <c r="N6" s="882"/>
      <c r="O6" s="495" t="s">
        <v>266</v>
      </c>
      <c r="P6" s="111" t="s">
        <v>94</v>
      </c>
      <c r="Q6" s="877"/>
    </row>
    <row r="7" spans="2:34" x14ac:dyDescent="0.25">
      <c r="B7" s="874"/>
      <c r="C7" s="854"/>
      <c r="D7" s="863"/>
      <c r="E7" s="866"/>
      <c r="F7" s="503" t="s">
        <v>209</v>
      </c>
      <c r="G7" s="504" t="s">
        <v>93</v>
      </c>
      <c r="H7" s="505" t="s">
        <v>95</v>
      </c>
      <c r="I7" s="503" t="s">
        <v>96</v>
      </c>
      <c r="J7" s="507" t="s">
        <v>87</v>
      </c>
      <c r="K7" s="509" t="s">
        <v>95</v>
      </c>
      <c r="L7" s="885"/>
      <c r="M7" s="512" t="s">
        <v>96</v>
      </c>
      <c r="N7" s="316" t="s">
        <v>87</v>
      </c>
      <c r="O7" s="513" t="s">
        <v>97</v>
      </c>
      <c r="P7" s="113" t="s">
        <v>98</v>
      </c>
      <c r="Q7" s="878"/>
    </row>
    <row r="8" spans="2:34" ht="15.75" thickBot="1" x14ac:dyDescent="0.3">
      <c r="B8" s="875"/>
      <c r="C8" s="855"/>
      <c r="D8" s="114" t="s">
        <v>72</v>
      </c>
      <c r="E8" s="112" t="s">
        <v>99</v>
      </c>
      <c r="F8" s="115" t="s">
        <v>73</v>
      </c>
      <c r="G8" s="116" t="s">
        <v>100</v>
      </c>
      <c r="H8" s="117" t="s">
        <v>101</v>
      </c>
      <c r="I8" s="499" t="s">
        <v>102</v>
      </c>
      <c r="J8" s="500" t="s">
        <v>76</v>
      </c>
      <c r="K8" s="510" t="s">
        <v>103</v>
      </c>
      <c r="L8" s="494" t="s">
        <v>78</v>
      </c>
      <c r="M8" s="499" t="s">
        <v>104</v>
      </c>
      <c r="N8" s="27" t="s">
        <v>80</v>
      </c>
      <c r="O8" s="494" t="s">
        <v>105</v>
      </c>
      <c r="P8" s="118" t="s">
        <v>106</v>
      </c>
      <c r="Q8" s="119" t="s">
        <v>107</v>
      </c>
      <c r="S8" t="s">
        <v>108</v>
      </c>
      <c r="T8" t="s">
        <v>109</v>
      </c>
      <c r="U8" t="s">
        <v>110</v>
      </c>
      <c r="V8" t="s">
        <v>108</v>
      </c>
      <c r="W8" t="s">
        <v>109</v>
      </c>
      <c r="X8" t="s">
        <v>110</v>
      </c>
      <c r="Y8" s="107" t="s">
        <v>111</v>
      </c>
      <c r="Z8" s="107" t="s">
        <v>112</v>
      </c>
      <c r="AA8" s="107" t="s">
        <v>113</v>
      </c>
      <c r="AB8" s="107" t="s">
        <v>112</v>
      </c>
    </row>
    <row r="9" spans="2:34" ht="25.5" customHeight="1" x14ac:dyDescent="0.25">
      <c r="B9" s="526" t="s">
        <v>114</v>
      </c>
      <c r="C9" s="120" t="s">
        <v>46</v>
      </c>
      <c r="D9" s="121">
        <v>3.62</v>
      </c>
      <c r="E9" s="487">
        <v>15655542.292800002</v>
      </c>
      <c r="F9" s="477">
        <f>'CENSO 2015'!C10</f>
        <v>37309</v>
      </c>
      <c r="G9" s="514">
        <f t="shared" ref="G9:G29" si="0">F9/F$29*100</f>
        <v>3.1589687142796663</v>
      </c>
      <c r="H9" s="520">
        <f>((Datos!K$24*0.7)*0.5)*G9%</f>
        <v>965487.72436979786</v>
      </c>
      <c r="I9" s="477">
        <f>'Predial y Agua'!G9</f>
        <v>11206191</v>
      </c>
      <c r="J9" s="514">
        <f>I9/I$29*100</f>
        <v>1.6308681396833062</v>
      </c>
      <c r="K9" s="478">
        <f>((Datos!K$24*0.7)*(0.5))*FFM!J9%</f>
        <v>498448.48472615855</v>
      </c>
      <c r="L9" s="479">
        <f>H9+K9</f>
        <v>1463936.2090959563</v>
      </c>
      <c r="M9" s="477">
        <v>0</v>
      </c>
      <c r="N9" s="514">
        <v>0</v>
      </c>
      <c r="O9" s="515">
        <v>0</v>
      </c>
      <c r="P9" s="124">
        <f>H9+K9+O9</f>
        <v>1463936.2090959563</v>
      </c>
      <c r="Q9" s="122">
        <f>E9+L9+O9</f>
        <v>17119478.501895957</v>
      </c>
      <c r="R9" s="125">
        <f t="shared" ref="R9:R28" si="1">G9+J9</f>
        <v>4.7898368539629725</v>
      </c>
      <c r="S9" s="125">
        <f>R9/2</f>
        <v>2.3949184269814863</v>
      </c>
      <c r="T9" s="125">
        <f>2.480738</f>
        <v>2.4807380000000001</v>
      </c>
      <c r="U9" s="126">
        <f>S9-T9</f>
        <v>-8.5819573018513839E-2</v>
      </c>
      <c r="V9" s="125">
        <f>N9</f>
        <v>0</v>
      </c>
      <c r="X9" s="125">
        <f>V9-W9</f>
        <v>0</v>
      </c>
      <c r="Y9" s="107">
        <v>3.3898570000000001</v>
      </c>
      <c r="Z9" s="127">
        <f>S9-Y9</f>
        <v>-0.99493857301851385</v>
      </c>
      <c r="AA9" s="107"/>
      <c r="AB9" s="107"/>
      <c r="AG9" s="125">
        <f>G9+J9</f>
        <v>4.7898368539629725</v>
      </c>
      <c r="AH9" s="125">
        <f>AG9/2</f>
        <v>2.3949184269814863</v>
      </c>
    </row>
    <row r="10" spans="2:34" ht="25.5" customHeight="1" x14ac:dyDescent="0.25">
      <c r="B10" s="522" t="s">
        <v>114</v>
      </c>
      <c r="C10" s="120" t="s">
        <v>47</v>
      </c>
      <c r="D10" s="121">
        <v>2.4700000000000002</v>
      </c>
      <c r="E10" s="475">
        <v>10682096.536800001</v>
      </c>
      <c r="F10" s="482">
        <f>'CENSO 2015'!C11</f>
        <v>15953</v>
      </c>
      <c r="G10" s="453">
        <f t="shared" si="0"/>
        <v>1.3507472164599297</v>
      </c>
      <c r="H10" s="123">
        <f>((Datos!K$24*0.7)*0.5)*G10%</f>
        <v>412834.052557597</v>
      </c>
      <c r="I10" s="482">
        <f>'Predial y Agua'!G10</f>
        <v>6496081</v>
      </c>
      <c r="J10" s="453">
        <f t="shared" ref="J10:J28" si="2">I10/I$29*100</f>
        <v>0.94539273297252135</v>
      </c>
      <c r="K10" s="175">
        <f>((Datos!K$24*0.7)*(0.5))*FFM!J10%</f>
        <v>288944.00703221897</v>
      </c>
      <c r="L10" s="483">
        <f t="shared" ref="L10:L28" si="3">H10+K10</f>
        <v>701778.05958981602</v>
      </c>
      <c r="M10" s="482">
        <v>0</v>
      </c>
      <c r="N10" s="453">
        <v>0</v>
      </c>
      <c r="O10" s="516">
        <v>0</v>
      </c>
      <c r="P10" s="124">
        <f t="shared" ref="P10:P28" si="4">H10+K10+O10</f>
        <v>701778.05958981602</v>
      </c>
      <c r="Q10" s="122">
        <f t="shared" ref="Q10:Q28" si="5">E10+L10+O10</f>
        <v>11383874.596389817</v>
      </c>
      <c r="R10" s="125">
        <f t="shared" si="1"/>
        <v>2.296139949432451</v>
      </c>
      <c r="S10" s="125">
        <f t="shared" ref="S10:S29" si="6">R10/2</f>
        <v>1.1480699747162255</v>
      </c>
      <c r="T10" s="125">
        <v>1.0658129999999999</v>
      </c>
      <c r="U10" s="126">
        <f t="shared" ref="U10:U28" si="7">S10-T10</f>
        <v>8.2256974716225617E-2</v>
      </c>
      <c r="V10" s="125">
        <f t="shared" ref="V10:V28" si="8">N10</f>
        <v>0</v>
      </c>
      <c r="X10" s="125">
        <f t="shared" ref="X10:X28" si="9">V10-W10</f>
        <v>0</v>
      </c>
      <c r="Y10" s="107">
        <v>1.4561059999999999</v>
      </c>
      <c r="Z10" s="127">
        <f t="shared" ref="Z10:Z28" si="10">S10-Y10</f>
        <v>-0.30803602528377438</v>
      </c>
      <c r="AA10" s="107"/>
      <c r="AB10" s="107"/>
      <c r="AG10" s="125">
        <f t="shared" ref="AG10:AG29" si="11">G10+J10</f>
        <v>2.296139949432451</v>
      </c>
      <c r="AH10" s="125">
        <f t="shared" ref="AH10:AH29" si="12">AG10/2</f>
        <v>1.1480699747162255</v>
      </c>
    </row>
    <row r="11" spans="2:34" ht="25.5" customHeight="1" x14ac:dyDescent="0.25">
      <c r="B11" s="522" t="s">
        <v>114</v>
      </c>
      <c r="C11" s="120" t="s">
        <v>48</v>
      </c>
      <c r="D11" s="121">
        <v>2.33</v>
      </c>
      <c r="E11" s="475">
        <v>10076633.575200001</v>
      </c>
      <c r="F11" s="482">
        <f>'CENSO 2015'!C12</f>
        <v>11851</v>
      </c>
      <c r="G11" s="453">
        <f t="shared" si="0"/>
        <v>1.0034291520257399</v>
      </c>
      <c r="H11" s="123">
        <f>((Datos!K$24*0.7)*0.5)*G11%</f>
        <v>306681.90038613946</v>
      </c>
      <c r="I11" s="482">
        <f>'Predial y Agua'!G11</f>
        <v>3306953</v>
      </c>
      <c r="J11" s="453">
        <f t="shared" si="2"/>
        <v>0.48127006644185599</v>
      </c>
      <c r="K11" s="175">
        <f>((Datos!K$24*0.7)*(0.5))*FFM!J11%</f>
        <v>147092.41631796426</v>
      </c>
      <c r="L11" s="483">
        <f t="shared" si="3"/>
        <v>453774.31670410372</v>
      </c>
      <c r="M11" s="482">
        <v>0</v>
      </c>
      <c r="N11" s="453">
        <v>0</v>
      </c>
      <c r="O11" s="516">
        <v>0</v>
      </c>
      <c r="P11" s="124">
        <f t="shared" si="4"/>
        <v>453774.31670410372</v>
      </c>
      <c r="Q11" s="122">
        <f t="shared" si="5"/>
        <v>10530407.891904105</v>
      </c>
      <c r="R11" s="125">
        <f t="shared" si="1"/>
        <v>1.484699218467596</v>
      </c>
      <c r="S11" s="125">
        <f t="shared" si="6"/>
        <v>0.742349609233798</v>
      </c>
      <c r="T11" s="125">
        <v>0.85747200000000001</v>
      </c>
      <c r="U11" s="126">
        <f t="shared" si="7"/>
        <v>-0.11512239076620201</v>
      </c>
      <c r="V11" s="125">
        <f t="shared" si="8"/>
        <v>0</v>
      </c>
      <c r="X11" s="125">
        <f t="shared" si="9"/>
        <v>0</v>
      </c>
      <c r="Y11" s="107">
        <v>1.167629</v>
      </c>
      <c r="Z11" s="127">
        <f t="shared" si="10"/>
        <v>-0.42527939076620203</v>
      </c>
      <c r="AA11" s="107"/>
      <c r="AB11" s="107"/>
      <c r="AG11" s="125">
        <f t="shared" si="11"/>
        <v>1.484699218467596</v>
      </c>
      <c r="AH11" s="125">
        <f t="shared" si="12"/>
        <v>0.742349609233798</v>
      </c>
    </row>
    <row r="12" spans="2:34" ht="25.5" customHeight="1" x14ac:dyDescent="0.25">
      <c r="B12" s="522" t="s">
        <v>114</v>
      </c>
      <c r="C12" s="120" t="s">
        <v>49</v>
      </c>
      <c r="D12" s="121">
        <v>2.81</v>
      </c>
      <c r="E12" s="475">
        <v>12152506.5864</v>
      </c>
      <c r="F12" s="482">
        <f>'CENSO 2015'!C13</f>
        <v>150250</v>
      </c>
      <c r="G12" s="453">
        <f t="shared" si="0"/>
        <v>12.721730663392744</v>
      </c>
      <c r="H12" s="123">
        <f>((Datos!K$24*0.7)*0.5)*G12%</f>
        <v>3888191.3368506832</v>
      </c>
      <c r="I12" s="482">
        <f>'Predial y Agua'!G12</f>
        <v>293520012</v>
      </c>
      <c r="J12" s="453">
        <f t="shared" si="2"/>
        <v>42.716783600267185</v>
      </c>
      <c r="K12" s="175">
        <f>((Datos!K$24*0.7)*(0.5))*FFM!J12%</f>
        <v>13055694.411973156</v>
      </c>
      <c r="L12" s="483">
        <f t="shared" si="3"/>
        <v>16943885.74882384</v>
      </c>
      <c r="M12" s="482">
        <v>0</v>
      </c>
      <c r="N12" s="453">
        <v>0</v>
      </c>
      <c r="O12" s="516">
        <v>0</v>
      </c>
      <c r="P12" s="124">
        <f t="shared" si="4"/>
        <v>16943885.74882384</v>
      </c>
      <c r="Q12" s="122">
        <f t="shared" si="5"/>
        <v>29096392.335223839</v>
      </c>
      <c r="R12" s="125">
        <f t="shared" si="1"/>
        <v>55.438514263659926</v>
      </c>
      <c r="S12" s="125">
        <f t="shared" si="6"/>
        <v>27.719257131829963</v>
      </c>
      <c r="T12" s="125">
        <v>26.514603000000001</v>
      </c>
      <c r="U12" s="126">
        <f t="shared" si="7"/>
        <v>1.2046541318299617</v>
      </c>
      <c r="V12" s="125">
        <f t="shared" si="8"/>
        <v>0</v>
      </c>
      <c r="X12" s="125">
        <f t="shared" si="9"/>
        <v>0</v>
      </c>
      <c r="Y12" s="107">
        <v>39.874909000000002</v>
      </c>
      <c r="Z12" s="127">
        <f t="shared" si="10"/>
        <v>-12.15565186817004</v>
      </c>
      <c r="AA12" s="107"/>
      <c r="AB12" s="107"/>
      <c r="AG12" s="125">
        <f t="shared" si="11"/>
        <v>55.438514263659926</v>
      </c>
      <c r="AH12" s="125">
        <f t="shared" si="12"/>
        <v>27.719257131829963</v>
      </c>
    </row>
    <row r="13" spans="2:34" ht="25.5" customHeight="1" x14ac:dyDescent="0.25">
      <c r="B13" s="522" t="s">
        <v>114</v>
      </c>
      <c r="C13" s="120" t="s">
        <v>50</v>
      </c>
      <c r="D13" s="121">
        <v>4.6399999999999997</v>
      </c>
      <c r="E13" s="475">
        <v>20066772.441599999</v>
      </c>
      <c r="F13" s="482">
        <f>'CENSO 2015'!C14</f>
        <v>75520</v>
      </c>
      <c r="G13" s="453">
        <f t="shared" si="0"/>
        <v>6.3943101477498834</v>
      </c>
      <c r="H13" s="123">
        <f>((Datos!K$24*0.7)*0.5)*G13%</f>
        <v>1954317.5358333683</v>
      </c>
      <c r="I13" s="482">
        <f>'Predial y Agua'!G13</f>
        <v>26126480</v>
      </c>
      <c r="J13" s="453">
        <f t="shared" si="2"/>
        <v>3.8022592898936938</v>
      </c>
      <c r="K13" s="175">
        <f>((Datos!K$24*0.7)*(0.5))*FFM!J13%</f>
        <v>1162099.090335716</v>
      </c>
      <c r="L13" s="483">
        <f t="shared" si="3"/>
        <v>3116416.6261690846</v>
      </c>
      <c r="M13" s="482">
        <v>0</v>
      </c>
      <c r="N13" s="453">
        <v>0</v>
      </c>
      <c r="O13" s="516">
        <v>0</v>
      </c>
      <c r="P13" s="124">
        <f t="shared" si="4"/>
        <v>3116416.6261690846</v>
      </c>
      <c r="Q13" s="122">
        <f t="shared" si="5"/>
        <v>23183189.067769084</v>
      </c>
      <c r="R13" s="125">
        <f t="shared" si="1"/>
        <v>10.196569437643577</v>
      </c>
      <c r="S13" s="125">
        <f t="shared" si="6"/>
        <v>5.0982847188217884</v>
      </c>
      <c r="T13" s="125">
        <v>5.371861</v>
      </c>
      <c r="U13" s="126">
        <f t="shared" si="7"/>
        <v>-0.27357628117821164</v>
      </c>
      <c r="V13" s="125">
        <f t="shared" si="8"/>
        <v>0</v>
      </c>
      <c r="X13" s="125">
        <f t="shared" si="9"/>
        <v>0</v>
      </c>
      <c r="Y13" s="107">
        <v>7.3199050000000003</v>
      </c>
      <c r="Z13" s="127">
        <f t="shared" si="10"/>
        <v>-2.221620281178212</v>
      </c>
      <c r="AA13" s="107"/>
      <c r="AB13" s="107"/>
      <c r="AG13" s="125">
        <f t="shared" si="11"/>
        <v>10.196569437643577</v>
      </c>
      <c r="AH13" s="125">
        <f t="shared" si="12"/>
        <v>5.0982847188217884</v>
      </c>
    </row>
    <row r="14" spans="2:34" s="6" customFormat="1" ht="25.5" customHeight="1" x14ac:dyDescent="0.25">
      <c r="B14" s="523" t="s">
        <v>115</v>
      </c>
      <c r="C14" s="128" t="s">
        <v>51</v>
      </c>
      <c r="D14" s="129">
        <v>1.5</v>
      </c>
      <c r="E14" s="498">
        <v>6487103.1600000001</v>
      </c>
      <c r="F14" s="482">
        <f>'CENSO 2015'!C15</f>
        <v>42514</v>
      </c>
      <c r="G14" s="518">
        <f t="shared" si="0"/>
        <v>3.5996782524025233</v>
      </c>
      <c r="H14" s="123">
        <f>((Datos!K$24*0.7)*0.5)*G14%</f>
        <v>1100183.47084772</v>
      </c>
      <c r="I14" s="482">
        <f>'Predial y Agua'!G14</f>
        <v>115798</v>
      </c>
      <c r="J14" s="518">
        <f t="shared" si="2"/>
        <v>1.6852404964278003E-2</v>
      </c>
      <c r="K14" s="175">
        <f>((Datos!K$24*0.7)*(0.5))*FFM!J14%</f>
        <v>5150.6651666315256</v>
      </c>
      <c r="L14" s="498">
        <f t="shared" si="3"/>
        <v>1105334.1360143516</v>
      </c>
      <c r="M14" s="517">
        <f>'FGP 30%'!I41</f>
        <v>33467</v>
      </c>
      <c r="N14" s="518">
        <f>M14/M$29*100</f>
        <v>0.43066263392016113</v>
      </c>
      <c r="O14" s="498">
        <f>(Datos!K24-FFM!H29-FFM!K$29)*FFM!N14%</f>
        <v>112821.49080990109</v>
      </c>
      <c r="P14" s="130">
        <f t="shared" si="4"/>
        <v>1218155.6268242528</v>
      </c>
      <c r="Q14" s="131">
        <f t="shared" si="5"/>
        <v>7705258.7868242525</v>
      </c>
      <c r="R14" s="96">
        <f t="shared" si="1"/>
        <v>3.6165306573668015</v>
      </c>
      <c r="S14" s="96">
        <f t="shared" si="6"/>
        <v>1.8082653286834007</v>
      </c>
      <c r="T14" s="96">
        <v>1.826878</v>
      </c>
      <c r="U14" s="132">
        <f t="shared" si="7"/>
        <v>-1.8612671316599272E-2</v>
      </c>
      <c r="V14" s="96">
        <f t="shared" si="8"/>
        <v>0.43066263392016113</v>
      </c>
      <c r="W14" s="6">
        <v>0.35585699999999998</v>
      </c>
      <c r="X14" s="96">
        <f t="shared" si="9"/>
        <v>7.4805633920161152E-2</v>
      </c>
      <c r="Y14" s="133">
        <v>2.5551330000000001</v>
      </c>
      <c r="Z14" s="134">
        <f t="shared" si="10"/>
        <v>-0.74686767131659937</v>
      </c>
      <c r="AA14" s="133">
        <v>16.147120999999999</v>
      </c>
      <c r="AB14" s="133">
        <f>W14-AA14</f>
        <v>-15.791263999999998</v>
      </c>
      <c r="AG14" s="125">
        <f t="shared" si="11"/>
        <v>3.6165306573668015</v>
      </c>
      <c r="AH14" s="125">
        <f t="shared" si="12"/>
        <v>1.8082653286834007</v>
      </c>
    </row>
    <row r="15" spans="2:34" s="6" customFormat="1" ht="25.5" customHeight="1" x14ac:dyDescent="0.25">
      <c r="B15" s="523" t="s">
        <v>115</v>
      </c>
      <c r="C15" s="128" t="s">
        <v>52</v>
      </c>
      <c r="D15" s="129">
        <v>1.53</v>
      </c>
      <c r="E15" s="498">
        <v>6616845.2232000008</v>
      </c>
      <c r="F15" s="482">
        <f>'CENSO 2015'!C16</f>
        <v>12614</v>
      </c>
      <c r="G15" s="518">
        <f t="shared" si="0"/>
        <v>1.0680326827822699</v>
      </c>
      <c r="H15" s="123">
        <f>((Datos!K$24*0.7)*0.5)*G15%</f>
        <v>326426.92527809995</v>
      </c>
      <c r="I15" s="482">
        <f>'Predial y Agua'!G15</f>
        <v>92213</v>
      </c>
      <c r="J15" s="518">
        <f t="shared" si="2"/>
        <v>1.3420014326421592E-2</v>
      </c>
      <c r="K15" s="175">
        <f>((Datos!K$24*0.7)*(0.5))*FFM!J15%</f>
        <v>4101.6104510491805</v>
      </c>
      <c r="L15" s="498">
        <f t="shared" si="3"/>
        <v>330528.53572914912</v>
      </c>
      <c r="M15" s="517">
        <f>'FGP 30%'!I42</f>
        <v>13603</v>
      </c>
      <c r="N15" s="518">
        <f>M15/M$29*100</f>
        <v>0.17504717510431025</v>
      </c>
      <c r="O15" s="498">
        <f>(Datos!K24-FFM!H29-FFM!K$29)*FFM!N15%</f>
        <v>45857.433874774688</v>
      </c>
      <c r="P15" s="130">
        <f t="shared" si="4"/>
        <v>376385.96960392379</v>
      </c>
      <c r="Q15" s="131">
        <f t="shared" si="5"/>
        <v>6993231.1928039249</v>
      </c>
      <c r="R15" s="96">
        <f t="shared" si="1"/>
        <v>1.0814526971086915</v>
      </c>
      <c r="S15" s="96">
        <f t="shared" si="6"/>
        <v>0.54072634855434576</v>
      </c>
      <c r="T15" s="96">
        <v>0.53989200000000004</v>
      </c>
      <c r="U15" s="132">
        <f t="shared" si="7"/>
        <v>8.3434855434572075E-4</v>
      </c>
      <c r="V15" s="96">
        <f t="shared" si="8"/>
        <v>0.17504717510431025</v>
      </c>
      <c r="W15" s="6">
        <v>0.19699800000000001</v>
      </c>
      <c r="X15" s="96">
        <f t="shared" si="9"/>
        <v>-2.1950824895689752E-2</v>
      </c>
      <c r="Y15" s="133">
        <v>0.75530600000000003</v>
      </c>
      <c r="Z15" s="134">
        <f t="shared" si="10"/>
        <v>-0.21457965144565427</v>
      </c>
      <c r="AA15" s="133">
        <v>4.7731430000000001</v>
      </c>
      <c r="AB15" s="133">
        <f t="shared" ref="AB15:AB27" si="13">W15-AA15</f>
        <v>-4.5761450000000004</v>
      </c>
      <c r="AG15" s="125">
        <f t="shared" si="11"/>
        <v>1.0814526971086915</v>
      </c>
      <c r="AH15" s="125">
        <f t="shared" si="12"/>
        <v>0.54072634855434576</v>
      </c>
    </row>
    <row r="16" spans="2:34" s="6" customFormat="1" ht="25.5" customHeight="1" x14ac:dyDescent="0.25">
      <c r="B16" s="524" t="s">
        <v>114</v>
      </c>
      <c r="C16" s="120" t="s">
        <v>53</v>
      </c>
      <c r="D16" s="135">
        <v>3.16</v>
      </c>
      <c r="E16" s="483">
        <v>13666163.990400001</v>
      </c>
      <c r="F16" s="482">
        <f>'CENSO 2015'!C17</f>
        <v>29416</v>
      </c>
      <c r="G16" s="453">
        <f t="shared" si="0"/>
        <v>2.4906650861521529</v>
      </c>
      <c r="H16" s="123">
        <f>((Datos!K$24*0.7)*0.5)*G16%</f>
        <v>761231.5232266204</v>
      </c>
      <c r="I16" s="482">
        <f>'Predial y Agua'!G16</f>
        <v>11680521</v>
      </c>
      <c r="J16" s="453">
        <f t="shared" si="2"/>
        <v>1.6998987036542381</v>
      </c>
      <c r="K16" s="175">
        <f>((Datos!K$24*0.7)*(0.5))*FFM!J16%</f>
        <v>519546.5607593226</v>
      </c>
      <c r="L16" s="483">
        <f t="shared" si="3"/>
        <v>1280778.0839859429</v>
      </c>
      <c r="M16" s="482">
        <v>0</v>
      </c>
      <c r="N16" s="453">
        <v>0</v>
      </c>
      <c r="O16" s="498">
        <v>0</v>
      </c>
      <c r="P16" s="136">
        <f t="shared" si="4"/>
        <v>1280778.0839859429</v>
      </c>
      <c r="Q16" s="122">
        <f t="shared" si="5"/>
        <v>14946942.074385945</v>
      </c>
      <c r="R16" s="96">
        <f t="shared" si="1"/>
        <v>4.190563789806391</v>
      </c>
      <c r="S16" s="96">
        <f t="shared" si="6"/>
        <v>2.0952818949031955</v>
      </c>
      <c r="T16" s="96">
        <v>2.598125</v>
      </c>
      <c r="U16" s="132">
        <f t="shared" si="7"/>
        <v>-0.50284310509680452</v>
      </c>
      <c r="V16" s="96">
        <f t="shared" si="8"/>
        <v>0</v>
      </c>
      <c r="X16" s="96">
        <f t="shared" si="9"/>
        <v>0</v>
      </c>
      <c r="Y16" s="133">
        <v>3.512527</v>
      </c>
      <c r="Z16" s="134">
        <f t="shared" si="10"/>
        <v>-1.4172451050968045</v>
      </c>
      <c r="AA16" s="133"/>
      <c r="AB16" s="133">
        <f t="shared" si="13"/>
        <v>0</v>
      </c>
      <c r="AG16" s="125">
        <f t="shared" si="11"/>
        <v>4.190563789806391</v>
      </c>
      <c r="AH16" s="125">
        <f t="shared" si="12"/>
        <v>2.0952818949031955</v>
      </c>
    </row>
    <row r="17" spans="2:34" s="6" customFormat="1" ht="25.5" customHeight="1" x14ac:dyDescent="0.25">
      <c r="B17" s="524" t="s">
        <v>114</v>
      </c>
      <c r="C17" s="120" t="s">
        <v>54</v>
      </c>
      <c r="D17" s="135">
        <v>2.81</v>
      </c>
      <c r="E17" s="483">
        <v>12152506.5864</v>
      </c>
      <c r="F17" s="482">
        <f>'CENSO 2015'!C18</f>
        <v>18580</v>
      </c>
      <c r="G17" s="453">
        <f t="shared" si="0"/>
        <v>1.5731764108208799</v>
      </c>
      <c r="H17" s="123">
        <f>((Datos!K$24*0.7)*0.5)*G17%</f>
        <v>480815.94035730918</v>
      </c>
      <c r="I17" s="482">
        <f>'Predial y Agua'!G17</f>
        <v>3420820</v>
      </c>
      <c r="J17" s="453">
        <f t="shared" si="2"/>
        <v>0.49784144760618909</v>
      </c>
      <c r="K17" s="175">
        <f>((Datos!K$24*0.7)*(0.5))*FFM!J17%</f>
        <v>152157.19110275185</v>
      </c>
      <c r="L17" s="483">
        <f t="shared" si="3"/>
        <v>632973.13146006106</v>
      </c>
      <c r="M17" s="482">
        <v>0</v>
      </c>
      <c r="N17" s="453">
        <v>0</v>
      </c>
      <c r="O17" s="498">
        <v>0</v>
      </c>
      <c r="P17" s="136">
        <f t="shared" si="4"/>
        <v>632973.13146006106</v>
      </c>
      <c r="Q17" s="122">
        <f t="shared" si="5"/>
        <v>12785479.717860062</v>
      </c>
      <c r="R17" s="96">
        <f t="shared" si="1"/>
        <v>2.0710178584270689</v>
      </c>
      <c r="S17" s="96">
        <f t="shared" si="6"/>
        <v>1.0355089292135344</v>
      </c>
      <c r="T17" s="96">
        <v>1.1819949999999999</v>
      </c>
      <c r="U17" s="132">
        <f t="shared" si="7"/>
        <v>-0.14648607078646547</v>
      </c>
      <c r="V17" s="96">
        <f t="shared" si="8"/>
        <v>0</v>
      </c>
      <c r="X17" s="96">
        <f t="shared" si="9"/>
        <v>0</v>
      </c>
      <c r="Y17" s="133">
        <v>1.6183019999999999</v>
      </c>
      <c r="Z17" s="134">
        <f t="shared" si="10"/>
        <v>-0.58279307078646547</v>
      </c>
      <c r="AA17" s="133"/>
      <c r="AB17" s="133">
        <f t="shared" si="13"/>
        <v>0</v>
      </c>
      <c r="AG17" s="125">
        <f t="shared" si="11"/>
        <v>2.0710178584270689</v>
      </c>
      <c r="AH17" s="125">
        <f t="shared" si="12"/>
        <v>1.0355089292135344</v>
      </c>
    </row>
    <row r="18" spans="2:34" s="6" customFormat="1" ht="25.5" customHeight="1" x14ac:dyDescent="0.25">
      <c r="B18" s="524" t="s">
        <v>114</v>
      </c>
      <c r="C18" s="120" t="s">
        <v>55</v>
      </c>
      <c r="D18" s="135">
        <v>1.6</v>
      </c>
      <c r="E18" s="483">
        <v>6919576.7039999999</v>
      </c>
      <c r="F18" s="482">
        <f>'CENSO 2015'!C19</f>
        <v>14315</v>
      </c>
      <c r="G18" s="453">
        <f t="shared" si="0"/>
        <v>1.212057067863342</v>
      </c>
      <c r="H18" s="123">
        <f>((Datos!K$24*0.7)*0.5)*G18%</f>
        <v>370445.65049595694</v>
      </c>
      <c r="I18" s="482">
        <f>'Predial y Agua'!G18</f>
        <v>2366788</v>
      </c>
      <c r="J18" s="453">
        <f t="shared" si="2"/>
        <v>0.3444452394738563</v>
      </c>
      <c r="K18" s="175">
        <f>((Datos!K$24*0.7)*(0.5))*FFM!J18%</f>
        <v>105274.11966011069</v>
      </c>
      <c r="L18" s="483">
        <f t="shared" si="3"/>
        <v>475719.77015606762</v>
      </c>
      <c r="M18" s="482">
        <v>0</v>
      </c>
      <c r="N18" s="453">
        <v>0</v>
      </c>
      <c r="O18" s="498">
        <v>0</v>
      </c>
      <c r="P18" s="136">
        <f t="shared" si="4"/>
        <v>475719.77015606762</v>
      </c>
      <c r="Q18" s="122">
        <f t="shared" si="5"/>
        <v>7395296.4741560677</v>
      </c>
      <c r="R18" s="96">
        <f t="shared" si="1"/>
        <v>1.5565023073371984</v>
      </c>
      <c r="S18" s="96">
        <f t="shared" si="6"/>
        <v>0.7782511536685992</v>
      </c>
      <c r="T18" s="96">
        <v>0.66424499999999997</v>
      </c>
      <c r="U18" s="132">
        <v>9.9999999999999995E-7</v>
      </c>
      <c r="V18" s="96">
        <f t="shared" si="8"/>
        <v>0</v>
      </c>
      <c r="X18" s="96">
        <f t="shared" si="9"/>
        <v>0</v>
      </c>
      <c r="Y18" s="133">
        <v>0.92457</v>
      </c>
      <c r="Z18" s="134">
        <f t="shared" si="10"/>
        <v>-0.1463188463314008</v>
      </c>
      <c r="AA18" s="133"/>
      <c r="AB18" s="133">
        <f t="shared" si="13"/>
        <v>0</v>
      </c>
      <c r="AG18" s="125">
        <f t="shared" si="11"/>
        <v>1.5565023073371984</v>
      </c>
      <c r="AH18" s="125">
        <f t="shared" si="12"/>
        <v>0.7782511536685992</v>
      </c>
    </row>
    <row r="19" spans="2:34" s="6" customFormat="1" ht="25.5" customHeight="1" x14ac:dyDescent="0.25">
      <c r="B19" s="523" t="s">
        <v>115</v>
      </c>
      <c r="C19" s="128" t="s">
        <v>56</v>
      </c>
      <c r="D19" s="129">
        <v>2.84</v>
      </c>
      <c r="E19" s="498">
        <v>12282248.649599999</v>
      </c>
      <c r="F19" s="482">
        <f>'CENSO 2015'!C20</f>
        <v>33901</v>
      </c>
      <c r="G19" s="518">
        <f t="shared" si="0"/>
        <v>2.8704119215951907</v>
      </c>
      <c r="H19" s="123">
        <f>((Datos!K$24*0.7)*0.5)*G19%</f>
        <v>877295.00506206334</v>
      </c>
      <c r="I19" s="482">
        <f>'Predial y Agua'!G19</f>
        <v>2337928</v>
      </c>
      <c r="J19" s="518">
        <f t="shared" si="2"/>
        <v>0.3402451634166786</v>
      </c>
      <c r="K19" s="175">
        <f>((Datos!K$24*0.7)*(0.5))*FFM!J19%</f>
        <v>103990.43430536376</v>
      </c>
      <c r="L19" s="498">
        <f t="shared" si="3"/>
        <v>981285.43936742714</v>
      </c>
      <c r="M19" s="517">
        <f>'FGP 30%'!I46</f>
        <v>1480024</v>
      </c>
      <c r="N19" s="518">
        <f>M19/M$29*100</f>
        <v>19.045359133028132</v>
      </c>
      <c r="O19" s="498">
        <f>(Datos!K24-FFM!H29-FFM!K$29)*FFM!N19%</f>
        <v>4989348.1374020092</v>
      </c>
      <c r="P19" s="130">
        <f t="shared" si="4"/>
        <v>5970633.5767694367</v>
      </c>
      <c r="Q19" s="131">
        <f t="shared" si="5"/>
        <v>18252882.226369433</v>
      </c>
      <c r="R19" s="96">
        <f t="shared" si="1"/>
        <v>3.2106570850118694</v>
      </c>
      <c r="S19" s="96">
        <f t="shared" si="6"/>
        <v>1.6053285425059347</v>
      </c>
      <c r="T19" s="96">
        <v>1.606241</v>
      </c>
      <c r="U19" s="132">
        <f t="shared" si="7"/>
        <v>-9.1245749406532184E-4</v>
      </c>
      <c r="V19" s="96">
        <f t="shared" si="8"/>
        <v>19.045359133028132</v>
      </c>
      <c r="W19" s="6">
        <v>16.427489000000001</v>
      </c>
      <c r="X19" s="96">
        <f t="shared" si="9"/>
        <v>2.6178701330281307</v>
      </c>
      <c r="Y19" s="133">
        <v>2.2329530000000002</v>
      </c>
      <c r="Z19" s="134">
        <f t="shared" si="10"/>
        <v>-0.62762445749406548</v>
      </c>
      <c r="AA19" s="133">
        <v>14.111107000000001</v>
      </c>
      <c r="AB19" s="133">
        <f t="shared" si="13"/>
        <v>2.3163820000000008</v>
      </c>
      <c r="AG19" s="125">
        <f t="shared" si="11"/>
        <v>3.2106570850118694</v>
      </c>
      <c r="AH19" s="125">
        <f t="shared" si="12"/>
        <v>1.6053285425059347</v>
      </c>
    </row>
    <row r="20" spans="2:34" s="6" customFormat="1" ht="25.5" customHeight="1" x14ac:dyDescent="0.25">
      <c r="B20" s="524" t="s">
        <v>114</v>
      </c>
      <c r="C20" s="120" t="s">
        <v>57</v>
      </c>
      <c r="D20" s="135">
        <v>3.33</v>
      </c>
      <c r="E20" s="483">
        <v>14401369.015200002</v>
      </c>
      <c r="F20" s="482">
        <f>'CENSO 2015'!C21</f>
        <v>24743</v>
      </c>
      <c r="G20" s="453">
        <f t="shared" si="0"/>
        <v>2.0950002116760511</v>
      </c>
      <c r="H20" s="123">
        <f>((Datos!K$24*0.7)*0.5)*G20%</f>
        <v>640302.95006786333</v>
      </c>
      <c r="I20" s="482">
        <f>'Predial y Agua'!G20</f>
        <v>2694457</v>
      </c>
      <c r="J20" s="453">
        <f t="shared" si="2"/>
        <v>0.3921318202631619</v>
      </c>
      <c r="K20" s="175">
        <f>((Datos!K$24*0.7)*(0.5))*FFM!J20%</f>
        <v>119848.75224862678</v>
      </c>
      <c r="L20" s="483">
        <f t="shared" si="3"/>
        <v>760151.70231649012</v>
      </c>
      <c r="M20" s="482">
        <v>0</v>
      </c>
      <c r="N20" s="453">
        <v>0</v>
      </c>
      <c r="O20" s="498">
        <f>(Datos!K31-FFM!H35-FFM!K$29)*FFM!N20%</f>
        <v>0</v>
      </c>
      <c r="P20" s="136">
        <f t="shared" si="4"/>
        <v>760151.70231649012</v>
      </c>
      <c r="Q20" s="122">
        <f t="shared" si="5"/>
        <v>15161520.717516493</v>
      </c>
      <c r="R20" s="96">
        <f t="shared" si="1"/>
        <v>2.487132031939213</v>
      </c>
      <c r="S20" s="96">
        <f t="shared" si="6"/>
        <v>1.2435660159696065</v>
      </c>
      <c r="T20" s="96">
        <v>1.225519</v>
      </c>
      <c r="U20" s="132">
        <f t="shared" si="7"/>
        <v>1.804701596960645E-2</v>
      </c>
      <c r="V20" s="96">
        <f t="shared" si="8"/>
        <v>0</v>
      </c>
      <c r="X20" s="96">
        <f t="shared" si="9"/>
        <v>0</v>
      </c>
      <c r="Y20" s="133">
        <v>1.699298</v>
      </c>
      <c r="Z20" s="134">
        <f t="shared" si="10"/>
        <v>-0.4557319840303935</v>
      </c>
      <c r="AA20" s="133"/>
      <c r="AB20" s="133">
        <f t="shared" si="13"/>
        <v>0</v>
      </c>
      <c r="AG20" s="125">
        <f t="shared" si="11"/>
        <v>2.487132031939213</v>
      </c>
      <c r="AH20" s="125">
        <f t="shared" si="12"/>
        <v>1.2435660159696065</v>
      </c>
    </row>
    <row r="21" spans="2:34" s="6" customFormat="1" ht="25.5" customHeight="1" x14ac:dyDescent="0.25">
      <c r="B21" s="524" t="s">
        <v>114</v>
      </c>
      <c r="C21" s="120" t="s">
        <v>58</v>
      </c>
      <c r="D21" s="135">
        <v>4.6900000000000004</v>
      </c>
      <c r="E21" s="483">
        <v>20283009.213600002</v>
      </c>
      <c r="F21" s="482">
        <f>'CENSO 2015'!C22</f>
        <v>43979</v>
      </c>
      <c r="G21" s="453">
        <f t="shared" si="0"/>
        <v>3.7237204182718768</v>
      </c>
      <c r="H21" s="123">
        <f>((Datos!K$24*0.7)*0.5)*G21%</f>
        <v>1138094.9537660978</v>
      </c>
      <c r="I21" s="482">
        <f>'Predial y Agua'!G21</f>
        <v>6665469</v>
      </c>
      <c r="J21" s="453">
        <f t="shared" si="2"/>
        <v>0.97004423966597986</v>
      </c>
      <c r="K21" s="175">
        <f>((Datos!K$24*0.7)*(0.5))*FFM!J21%</f>
        <v>296478.34157379466</v>
      </c>
      <c r="L21" s="483">
        <f t="shared" si="3"/>
        <v>1434573.2953398924</v>
      </c>
      <c r="M21" s="482">
        <v>0</v>
      </c>
      <c r="N21" s="453">
        <v>0</v>
      </c>
      <c r="O21" s="498">
        <v>0</v>
      </c>
      <c r="P21" s="136">
        <f t="shared" si="4"/>
        <v>1434573.2953398924</v>
      </c>
      <c r="Q21" s="122">
        <f t="shared" si="5"/>
        <v>21717582.508939896</v>
      </c>
      <c r="R21" s="96">
        <f t="shared" si="1"/>
        <v>4.6937646579378569</v>
      </c>
      <c r="S21" s="96">
        <f t="shared" si="6"/>
        <v>2.3468823289689285</v>
      </c>
      <c r="T21" s="96">
        <v>2.2379220000000002</v>
      </c>
      <c r="U21" s="132">
        <f t="shared" si="7"/>
        <v>0.10896032896892827</v>
      </c>
      <c r="V21" s="96">
        <f t="shared" si="8"/>
        <v>0</v>
      </c>
      <c r="X21" s="96">
        <f t="shared" si="9"/>
        <v>0</v>
      </c>
      <c r="Y21" s="133">
        <v>3.0983839999999998</v>
      </c>
      <c r="Z21" s="134">
        <f t="shared" si="10"/>
        <v>-0.75150167103107135</v>
      </c>
      <c r="AA21" s="133"/>
      <c r="AB21" s="133">
        <f t="shared" si="13"/>
        <v>0</v>
      </c>
      <c r="AG21" s="125">
        <f t="shared" si="11"/>
        <v>4.6937646579378569</v>
      </c>
      <c r="AH21" s="125">
        <f t="shared" si="12"/>
        <v>2.3468823289689285</v>
      </c>
    </row>
    <row r="22" spans="2:34" s="6" customFormat="1" ht="25.5" customHeight="1" x14ac:dyDescent="0.25">
      <c r="B22" s="524" t="s">
        <v>114</v>
      </c>
      <c r="C22" s="120" t="s">
        <v>59</v>
      </c>
      <c r="D22" s="135">
        <v>2.13</v>
      </c>
      <c r="E22" s="483">
        <v>9211686.4871999994</v>
      </c>
      <c r="F22" s="482">
        <f>'CENSO 2015'!C23</f>
        <v>7499</v>
      </c>
      <c r="G22" s="453">
        <f t="shared" si="0"/>
        <v>0.63494348249439059</v>
      </c>
      <c r="H22" s="123">
        <f>((Datos!K$24*0.7)*0.5)*G22%</f>
        <v>194060.21188048768</v>
      </c>
      <c r="I22" s="482">
        <f>'Predial y Agua'!G22</f>
        <v>1821386</v>
      </c>
      <c r="J22" s="453">
        <f t="shared" si="2"/>
        <v>0.26507136969780526</v>
      </c>
      <c r="K22" s="175">
        <f>((Datos!K$24*0.7)*(0.5))*FFM!J22%</f>
        <v>81014.779401978682</v>
      </c>
      <c r="L22" s="483">
        <f t="shared" si="3"/>
        <v>275074.99128246633</v>
      </c>
      <c r="M22" s="482">
        <v>0</v>
      </c>
      <c r="N22" s="453">
        <f>M22/M$29*100</f>
        <v>0</v>
      </c>
      <c r="O22" s="483">
        <f>(Datos!K24-FFM!H29-FFM!K$29)*FFM!N22%</f>
        <v>0</v>
      </c>
      <c r="P22" s="136">
        <f t="shared" si="4"/>
        <v>275074.99128246633</v>
      </c>
      <c r="Q22" s="122">
        <f t="shared" si="5"/>
        <v>9486761.4784824662</v>
      </c>
      <c r="R22" s="96">
        <f t="shared" si="1"/>
        <v>0.90001485219219579</v>
      </c>
      <c r="S22" s="96">
        <f t="shared" si="6"/>
        <v>0.4500074260960979</v>
      </c>
      <c r="T22" s="96">
        <v>0.43209399999999998</v>
      </c>
      <c r="U22" s="132">
        <f t="shared" si="7"/>
        <v>1.7913426096097917E-2</v>
      </c>
      <c r="V22" s="96">
        <f t="shared" si="8"/>
        <v>0</v>
      </c>
      <c r="W22" s="6">
        <v>11.183956</v>
      </c>
      <c r="X22" s="96">
        <f t="shared" si="9"/>
        <v>-11.183956</v>
      </c>
      <c r="Y22" s="133">
        <v>0.59435300000000002</v>
      </c>
      <c r="Z22" s="134">
        <f t="shared" si="10"/>
        <v>-0.14434557390390212</v>
      </c>
      <c r="AA22" s="133">
        <v>3.7560030000000002</v>
      </c>
      <c r="AB22" s="133">
        <f t="shared" si="13"/>
        <v>7.4279530000000005</v>
      </c>
      <c r="AG22" s="125">
        <f t="shared" si="11"/>
        <v>0.90001485219219579</v>
      </c>
      <c r="AH22" s="125">
        <f t="shared" si="12"/>
        <v>0.4500074260960979</v>
      </c>
    </row>
    <row r="23" spans="2:34" s="6" customFormat="1" ht="25.5" customHeight="1" x14ac:dyDescent="0.25">
      <c r="B23" s="524" t="s">
        <v>116</v>
      </c>
      <c r="C23" s="120" t="s">
        <v>60</v>
      </c>
      <c r="D23" s="135">
        <v>2.81</v>
      </c>
      <c r="E23" s="483">
        <v>12152506.5864</v>
      </c>
      <c r="F23" s="482">
        <f>'CENSO 2015'!C24</f>
        <v>23477</v>
      </c>
      <c r="G23" s="453">
        <f t="shared" si="0"/>
        <v>1.9878074594640365</v>
      </c>
      <c r="H23" s="123">
        <f>((Datos!K$24*0.7)*0.5)*G23%</f>
        <v>607541.21807150415</v>
      </c>
      <c r="I23" s="482">
        <f>'Predial y Agua'!G23</f>
        <v>4577159</v>
      </c>
      <c r="J23" s="453">
        <f t="shared" si="2"/>
        <v>0.6661266779554893</v>
      </c>
      <c r="K23" s="175">
        <f>((Datos!K$24*0.7)*(0.5))*FFM!J23%</f>
        <v>203590.85151240946</v>
      </c>
      <c r="L23" s="483">
        <f t="shared" si="3"/>
        <v>811132.06958391354</v>
      </c>
      <c r="M23" s="482">
        <v>0</v>
      </c>
      <c r="N23" s="453">
        <v>0</v>
      </c>
      <c r="O23" s="483">
        <v>0</v>
      </c>
      <c r="P23" s="136">
        <f t="shared" si="4"/>
        <v>811132.06958391354</v>
      </c>
      <c r="Q23" s="122">
        <f t="shared" si="5"/>
        <v>12963638.655983914</v>
      </c>
      <c r="R23" s="96">
        <f t="shared" si="1"/>
        <v>2.653934137419526</v>
      </c>
      <c r="S23" s="96">
        <f t="shared" si="6"/>
        <v>1.326967068709763</v>
      </c>
      <c r="T23" s="96">
        <v>1.3994949999999999</v>
      </c>
      <c r="U23" s="132">
        <f t="shared" si="7"/>
        <v>-7.2527931290236936E-2</v>
      </c>
      <c r="V23" s="96">
        <f t="shared" si="8"/>
        <v>0</v>
      </c>
      <c r="X23" s="96">
        <f t="shared" si="9"/>
        <v>0</v>
      </c>
      <c r="Y23" s="133">
        <v>1.921861</v>
      </c>
      <c r="Z23" s="134">
        <f t="shared" si="10"/>
        <v>-0.59489393129023704</v>
      </c>
      <c r="AA23" s="133"/>
      <c r="AB23" s="133">
        <f t="shared" si="13"/>
        <v>0</v>
      </c>
      <c r="AG23" s="125">
        <f t="shared" si="11"/>
        <v>2.653934137419526</v>
      </c>
      <c r="AH23" s="125">
        <f t="shared" si="12"/>
        <v>1.326967068709763</v>
      </c>
    </row>
    <row r="24" spans="2:34" s="6" customFormat="1" ht="25.5" customHeight="1" x14ac:dyDescent="0.25">
      <c r="B24" s="523" t="s">
        <v>115</v>
      </c>
      <c r="C24" s="128" t="s">
        <v>61</v>
      </c>
      <c r="D24" s="129">
        <v>8.34</v>
      </c>
      <c r="E24" s="498">
        <v>36068293.569600001</v>
      </c>
      <c r="F24" s="482">
        <f>'CENSO 2015'!C25</f>
        <v>97820</v>
      </c>
      <c r="G24" s="518">
        <f t="shared" si="0"/>
        <v>8.2824605224164927</v>
      </c>
      <c r="H24" s="123">
        <f>((Datos!K$24*0.7)*0.5)*G24%</f>
        <v>2531400.1768434863</v>
      </c>
      <c r="I24" s="482">
        <f>'Predial y Agua'!G24</f>
        <v>16215080</v>
      </c>
      <c r="J24" s="518">
        <f t="shared" si="2"/>
        <v>2.3598256851427917</v>
      </c>
      <c r="K24" s="175">
        <f>((Datos!K$24*0.7)*(0.5))*FFM!J24%</f>
        <v>721242.57526160672</v>
      </c>
      <c r="L24" s="498">
        <f t="shared" si="3"/>
        <v>3252642.7521050931</v>
      </c>
      <c r="M24" s="517">
        <f>'FGP 30%'!I51</f>
        <v>4902160</v>
      </c>
      <c r="N24" s="518">
        <f>M24/M$29*100</f>
        <v>63.082353885859412</v>
      </c>
      <c r="O24" s="498">
        <f>(Datos!K24-FFM!H29-FFM!K$29)*FFM!N24%</f>
        <v>16525801.517574467</v>
      </c>
      <c r="P24" s="130">
        <f t="shared" si="4"/>
        <v>19778444.269679561</v>
      </c>
      <c r="Q24" s="131">
        <f t="shared" si="5"/>
        <v>55846737.839279562</v>
      </c>
      <c r="R24" s="96">
        <f t="shared" si="1"/>
        <v>10.642286207559284</v>
      </c>
      <c r="S24" s="96">
        <f t="shared" si="6"/>
        <v>5.3211431037796419</v>
      </c>
      <c r="T24" s="96">
        <v>5.5728949999999999</v>
      </c>
      <c r="U24" s="132">
        <f t="shared" si="7"/>
        <v>-0.25175189622035798</v>
      </c>
      <c r="V24" s="96">
        <f t="shared" si="8"/>
        <v>63.082353885859412</v>
      </c>
      <c r="W24" s="6">
        <v>59.916367999999999</v>
      </c>
      <c r="X24" s="96">
        <f t="shared" si="9"/>
        <v>3.1659858858594134</v>
      </c>
      <c r="Y24" s="133">
        <v>7.6699279999999996</v>
      </c>
      <c r="Z24" s="134">
        <f t="shared" si="10"/>
        <v>-2.3487848962203577</v>
      </c>
      <c r="AA24" s="133">
        <v>48.469971999999999</v>
      </c>
      <c r="AB24" s="133">
        <f t="shared" si="13"/>
        <v>11.446396</v>
      </c>
      <c r="AG24" s="125">
        <f t="shared" si="11"/>
        <v>10.642286207559284</v>
      </c>
      <c r="AH24" s="125">
        <f t="shared" si="12"/>
        <v>5.3211431037796419</v>
      </c>
    </row>
    <row r="25" spans="2:34" s="6" customFormat="1" ht="25.5" customHeight="1" x14ac:dyDescent="0.25">
      <c r="B25" s="524" t="s">
        <v>114</v>
      </c>
      <c r="C25" s="120" t="s">
        <v>62</v>
      </c>
      <c r="D25" s="135">
        <v>3.5</v>
      </c>
      <c r="E25" s="483">
        <v>15136574.040000001</v>
      </c>
      <c r="F25" s="482">
        <f>'CENSO 2015'!C26</f>
        <v>39718</v>
      </c>
      <c r="G25" s="453">
        <f t="shared" si="0"/>
        <v>3.3629397569958934</v>
      </c>
      <c r="H25" s="123">
        <f>((Datos!K$24*0.7)*0.5)*G25%</f>
        <v>1027828.1764860927</v>
      </c>
      <c r="I25" s="482">
        <f>'Predial y Agua'!G25</f>
        <v>4339926</v>
      </c>
      <c r="J25" s="453">
        <f t="shared" si="2"/>
        <v>0.63160149974092106</v>
      </c>
      <c r="K25" s="175">
        <f>((Datos!K$24*0.7)*(0.5))*FFM!J25%</f>
        <v>193038.78887336995</v>
      </c>
      <c r="L25" s="483">
        <f t="shared" si="3"/>
        <v>1220866.9653594627</v>
      </c>
      <c r="M25" s="482">
        <v>0</v>
      </c>
      <c r="N25" s="453">
        <v>0</v>
      </c>
      <c r="O25" s="483">
        <v>0</v>
      </c>
      <c r="P25" s="136">
        <f t="shared" si="4"/>
        <v>1220866.9653594627</v>
      </c>
      <c r="Q25" s="122">
        <f t="shared" si="5"/>
        <v>16357441.005359463</v>
      </c>
      <c r="R25" s="96">
        <f t="shared" si="1"/>
        <v>3.9945412567368144</v>
      </c>
      <c r="S25" s="96">
        <f t="shared" si="6"/>
        <v>1.9972706283684072</v>
      </c>
      <c r="T25" s="96">
        <v>2.767077</v>
      </c>
      <c r="U25" s="132">
        <f t="shared" si="7"/>
        <v>-0.76980637163159282</v>
      </c>
      <c r="V25" s="96">
        <f t="shared" si="8"/>
        <v>0</v>
      </c>
      <c r="X25" s="96">
        <f t="shared" si="9"/>
        <v>0</v>
      </c>
      <c r="Y25" s="133">
        <v>3.7737189999999998</v>
      </c>
      <c r="Z25" s="134">
        <f t="shared" si="10"/>
        <v>-1.7764483716315926</v>
      </c>
      <c r="AA25" s="133"/>
      <c r="AB25" s="133">
        <f t="shared" si="13"/>
        <v>0</v>
      </c>
      <c r="AG25" s="125">
        <f t="shared" si="11"/>
        <v>3.9945412567368144</v>
      </c>
      <c r="AH25" s="125">
        <f t="shared" si="12"/>
        <v>1.9972706283684072</v>
      </c>
    </row>
    <row r="26" spans="2:34" s="6" customFormat="1" ht="25.5" customHeight="1" x14ac:dyDescent="0.25">
      <c r="B26" s="524" t="s">
        <v>114</v>
      </c>
      <c r="C26" s="120" t="s">
        <v>63</v>
      </c>
      <c r="D26" s="135">
        <v>39</v>
      </c>
      <c r="E26" s="483">
        <v>168664682.16</v>
      </c>
      <c r="F26" s="482">
        <f>'CENSO 2015'!C27</f>
        <v>413608</v>
      </c>
      <c r="G26" s="453">
        <f t="shared" si="0"/>
        <v>35.020363236103471</v>
      </c>
      <c r="H26" s="123">
        <f>((Datos!K$24*0.7)*0.5)*G26%</f>
        <v>10703407.936453493</v>
      </c>
      <c r="I26" s="482">
        <f>'Predial y Agua'!G26</f>
        <v>249740346</v>
      </c>
      <c r="J26" s="453">
        <f t="shared" si="2"/>
        <v>36.345407059801602</v>
      </c>
      <c r="K26" s="175">
        <f>((Datos!K$24*0.7)*(0.5))*FFM!J26%</f>
        <v>11108386.162495941</v>
      </c>
      <c r="L26" s="483">
        <f t="shared" si="3"/>
        <v>21811794.098949432</v>
      </c>
      <c r="M26" s="482">
        <v>0</v>
      </c>
      <c r="N26" s="453">
        <v>0</v>
      </c>
      <c r="O26" s="483">
        <v>0</v>
      </c>
      <c r="P26" s="136">
        <f t="shared" si="4"/>
        <v>21811794.098949432</v>
      </c>
      <c r="Q26" s="122">
        <f t="shared" si="5"/>
        <v>190476476.25894943</v>
      </c>
      <c r="R26" s="96">
        <f t="shared" si="1"/>
        <v>71.365770295905065</v>
      </c>
      <c r="S26" s="96">
        <f t="shared" si="6"/>
        <v>35.682885147952533</v>
      </c>
      <c r="T26" s="96">
        <v>35.053296000000003</v>
      </c>
      <c r="U26" s="132">
        <f t="shared" si="7"/>
        <v>0.62958914795252952</v>
      </c>
      <c r="V26" s="96">
        <f t="shared" si="8"/>
        <v>0</v>
      </c>
      <c r="X26" s="96">
        <f t="shared" si="9"/>
        <v>0</v>
      </c>
      <c r="Y26" s="133">
        <v>47.455587999999999</v>
      </c>
      <c r="Z26" s="134">
        <f t="shared" si="10"/>
        <v>-11.772702852047466</v>
      </c>
      <c r="AA26" s="133"/>
      <c r="AB26" s="133">
        <f t="shared" si="13"/>
        <v>0</v>
      </c>
      <c r="AG26" s="125">
        <f t="shared" si="11"/>
        <v>71.365770295905065</v>
      </c>
      <c r="AH26" s="125">
        <f t="shared" si="12"/>
        <v>35.682885147952533</v>
      </c>
    </row>
    <row r="27" spans="2:34" s="6" customFormat="1" ht="25.5" customHeight="1" x14ac:dyDescent="0.25">
      <c r="B27" s="523" t="s">
        <v>117</v>
      </c>
      <c r="C27" s="128" t="s">
        <v>64</v>
      </c>
      <c r="D27" s="129">
        <v>3.79</v>
      </c>
      <c r="E27" s="498">
        <v>16390747.317600001</v>
      </c>
      <c r="F27" s="482">
        <f>'CENSO 2015'!C28</f>
        <v>30565</v>
      </c>
      <c r="G27" s="518">
        <f t="shared" si="0"/>
        <v>2.5879513991786967</v>
      </c>
      <c r="H27" s="123">
        <f>((Datos!K$24*0.7)*0.5)*G27%</f>
        <v>790965.51221857651</v>
      </c>
      <c r="I27" s="482">
        <f>'Predial y Agua'!G27</f>
        <v>2607273</v>
      </c>
      <c r="J27" s="518">
        <f t="shared" si="2"/>
        <v>0.37944369029195674</v>
      </c>
      <c r="K27" s="175">
        <f>((Datos!K$24*0.7)*(0.5))*FFM!J27%</f>
        <v>115970.83042020483</v>
      </c>
      <c r="L27" s="498">
        <f t="shared" si="3"/>
        <v>906936.34263878129</v>
      </c>
      <c r="M27" s="517">
        <f>'FGP 30%'!I54</f>
        <v>1341794</v>
      </c>
      <c r="N27" s="518">
        <f>M27/M$29*100</f>
        <v>17.266577172087985</v>
      </c>
      <c r="O27" s="498">
        <f>(Datos!K24-FFM!H29-FFM!K$29)*FFM!N27%</f>
        <v>4523357.3203388536</v>
      </c>
      <c r="P27" s="130">
        <f t="shared" si="4"/>
        <v>5430293.6629776349</v>
      </c>
      <c r="Q27" s="131">
        <f t="shared" si="5"/>
        <v>21821040.980577633</v>
      </c>
      <c r="R27" s="96">
        <f t="shared" si="1"/>
        <v>2.9673950894706533</v>
      </c>
      <c r="S27" s="96">
        <f t="shared" si="6"/>
        <v>1.4836975447353267</v>
      </c>
      <c r="T27" s="96">
        <v>1.450617</v>
      </c>
      <c r="U27" s="132">
        <f t="shared" si="7"/>
        <v>3.3080544735326622E-2</v>
      </c>
      <c r="V27" s="96">
        <f t="shared" si="8"/>
        <v>17.266577172087985</v>
      </c>
      <c r="W27" s="6">
        <v>11.919331</v>
      </c>
      <c r="X27" s="96">
        <f t="shared" si="9"/>
        <v>5.3472461720879849</v>
      </c>
      <c r="Y27" s="133">
        <v>2.0164080000000002</v>
      </c>
      <c r="Z27" s="134">
        <f t="shared" si="10"/>
        <v>-0.53271045526467353</v>
      </c>
      <c r="AA27" s="133">
        <v>12.742653000000001</v>
      </c>
      <c r="AB27" s="133">
        <f t="shared" si="13"/>
        <v>-0.823322000000001</v>
      </c>
      <c r="AG27" s="125">
        <f t="shared" si="11"/>
        <v>2.9673950894706533</v>
      </c>
      <c r="AH27" s="125">
        <f t="shared" si="12"/>
        <v>1.4836975447353267</v>
      </c>
    </row>
    <row r="28" spans="2:34" s="6" customFormat="1" ht="25.5" customHeight="1" thickBot="1" x14ac:dyDescent="0.3">
      <c r="B28" s="525" t="s">
        <v>114</v>
      </c>
      <c r="C28" s="137" t="s">
        <v>65</v>
      </c>
      <c r="D28" s="135">
        <v>3.1</v>
      </c>
      <c r="E28" s="483">
        <v>13406679.864</v>
      </c>
      <c r="F28" s="482">
        <f>'CENSO 2015'!C29</f>
        <v>57418</v>
      </c>
      <c r="G28" s="453">
        <f t="shared" si="0"/>
        <v>4.8616061978747727</v>
      </c>
      <c r="H28" s="123">
        <f>((Datos!K$24*0.7)*0.5)*G28%</f>
        <v>1485871.3489470384</v>
      </c>
      <c r="I28" s="482">
        <f>'Predial y Agua'!G28</f>
        <v>37799533</v>
      </c>
      <c r="J28" s="453">
        <f t="shared" si="2"/>
        <v>5.5010711547400666</v>
      </c>
      <c r="K28" s="175">
        <f>((Datos!K$24*0.7)*(0.5))*FFM!J28%</f>
        <v>1681313.4763816204</v>
      </c>
      <c r="L28" s="483">
        <f t="shared" si="3"/>
        <v>3167184.8253286588</v>
      </c>
      <c r="M28" s="482">
        <v>0</v>
      </c>
      <c r="N28" s="453">
        <v>0</v>
      </c>
      <c r="O28" s="483">
        <v>0</v>
      </c>
      <c r="P28" s="136">
        <f t="shared" si="4"/>
        <v>3167184.8253286588</v>
      </c>
      <c r="Q28" s="122">
        <f t="shared" si="5"/>
        <v>16573864.689328659</v>
      </c>
      <c r="R28" s="96">
        <f t="shared" si="1"/>
        <v>10.362677352614838</v>
      </c>
      <c r="S28" s="96">
        <f t="shared" si="6"/>
        <v>5.1813386763074192</v>
      </c>
      <c r="T28" s="96">
        <v>5.1532229999999997</v>
      </c>
      <c r="U28" s="132">
        <f t="shared" si="7"/>
        <v>2.8115676307419513E-2</v>
      </c>
      <c r="V28" s="96">
        <f t="shared" si="8"/>
        <v>0</v>
      </c>
      <c r="X28" s="96">
        <f t="shared" si="9"/>
        <v>0</v>
      </c>
      <c r="Y28" s="133">
        <v>6.9632639999999997</v>
      </c>
      <c r="Z28" s="134">
        <f t="shared" si="10"/>
        <v>-1.7819253236925805</v>
      </c>
      <c r="AA28" s="133"/>
      <c r="AB28" s="133"/>
      <c r="AG28" s="125">
        <f t="shared" si="11"/>
        <v>10.362677352614838</v>
      </c>
      <c r="AH28" s="125">
        <f t="shared" si="12"/>
        <v>5.1813386763074192</v>
      </c>
    </row>
    <row r="29" spans="2:34" ht="15.75" thickBot="1" x14ac:dyDescent="0.3">
      <c r="B29" s="867" t="s">
        <v>66</v>
      </c>
      <c r="C29" s="868"/>
      <c r="D29" s="521">
        <f>SUM(D9:D28)</f>
        <v>100</v>
      </c>
      <c r="E29" s="387">
        <f>SUM(E9:E28)</f>
        <v>432473544.00000006</v>
      </c>
      <c r="F29" s="519">
        <f>SUM(F9:F28)</f>
        <v>1181050</v>
      </c>
      <c r="G29" s="385">
        <f t="shared" si="0"/>
        <v>100</v>
      </c>
      <c r="H29" s="138">
        <f>SUM(H9:H28)</f>
        <v>30563383.549999997</v>
      </c>
      <c r="I29" s="138">
        <f>SUM(I9:I28)</f>
        <v>687130414</v>
      </c>
      <c r="J29" s="385">
        <f>I29/I$29*100</f>
        <v>100</v>
      </c>
      <c r="K29" s="138">
        <f>SUM(K9:K28)</f>
        <v>30563383.549999997</v>
      </c>
      <c r="L29" s="387">
        <f>SUM(L9:L28)</f>
        <v>61126767.099999994</v>
      </c>
      <c r="M29" s="519">
        <f>SUM(M9:M28)</f>
        <v>7771048</v>
      </c>
      <c r="N29" s="385">
        <f>SUM(N9:N28)</f>
        <v>100</v>
      </c>
      <c r="O29" s="138">
        <f>(Datos!K24-FFM!H29-FFM!K$29)*FFM!N29%</f>
        <v>26197185.900000006</v>
      </c>
      <c r="P29" s="386">
        <f>SUM(P9:P28)</f>
        <v>87323953</v>
      </c>
      <c r="Q29" s="387">
        <f>SUM(Q9:Q28)</f>
        <v>519797497.00000006</v>
      </c>
      <c r="R29" s="125">
        <f>SUM(R9:R28)</f>
        <v>199.99999999999997</v>
      </c>
      <c r="S29" s="125">
        <f t="shared" si="6"/>
        <v>99.999999999999986</v>
      </c>
      <c r="T29" s="125">
        <f>SUM(T9:T28)</f>
        <v>100.000001</v>
      </c>
      <c r="U29" s="125">
        <f>SUM(U9:U28)</f>
        <v>-0.11400615366860845</v>
      </c>
      <c r="V29" s="125">
        <f>SUM(V9:V28)</f>
        <v>100</v>
      </c>
      <c r="W29" s="125">
        <f t="shared" ref="W29:X29" si="14">SUM(W9:W28)</f>
        <v>99.999999000000003</v>
      </c>
      <c r="X29" s="125">
        <f t="shared" si="14"/>
        <v>1.0000000010279564E-6</v>
      </c>
      <c r="Y29" s="127">
        <f>SUM(Y9:Y28)</f>
        <v>140.00000000000003</v>
      </c>
      <c r="Z29" s="127">
        <f t="shared" ref="Z29:AB29" si="15">SUM(Z9:Z28)</f>
        <v>-40</v>
      </c>
      <c r="AA29" s="127">
        <f t="shared" si="15"/>
        <v>99.999999000000003</v>
      </c>
      <c r="AB29" s="127">
        <f t="shared" si="15"/>
        <v>1.7763568394002505E-15</v>
      </c>
      <c r="AG29" s="125">
        <f t="shared" si="11"/>
        <v>200</v>
      </c>
      <c r="AH29">
        <f t="shared" si="12"/>
        <v>100</v>
      </c>
    </row>
    <row r="30" spans="2:34" x14ac:dyDescent="0.25">
      <c r="B30" s="869" t="s">
        <v>300</v>
      </c>
      <c r="C30" s="869"/>
      <c r="D30" s="869"/>
      <c r="E30" s="869"/>
      <c r="F30" s="869"/>
      <c r="G30" s="869"/>
      <c r="H30" s="869"/>
      <c r="I30" s="869"/>
      <c r="J30" s="869"/>
      <c r="K30" s="869"/>
      <c r="L30" s="869"/>
      <c r="M30" s="869"/>
      <c r="N30" s="869"/>
      <c r="O30" s="869"/>
      <c r="P30" s="869"/>
      <c r="Q30" s="869"/>
    </row>
    <row r="31" spans="2:34" x14ac:dyDescent="0.25">
      <c r="B31" s="548"/>
      <c r="C31" s="576" t="s">
        <v>299</v>
      </c>
      <c r="D31" s="549"/>
      <c r="E31" s="547"/>
      <c r="F31" s="547"/>
      <c r="G31" s="547"/>
      <c r="H31" s="550"/>
      <c r="I31" s="547"/>
      <c r="J31" s="547"/>
      <c r="K31" s="546"/>
      <c r="L31" s="546"/>
      <c r="M31" s="551"/>
      <c r="N31" s="551"/>
      <c r="O31" s="552"/>
      <c r="P31" s="547"/>
      <c r="Q31" s="547"/>
    </row>
    <row r="32" spans="2:34" ht="27" customHeight="1" x14ac:dyDescent="0.25">
      <c r="B32" s="548"/>
      <c r="C32" s="870" t="s">
        <v>302</v>
      </c>
      <c r="D32" s="870"/>
      <c r="E32" s="870"/>
      <c r="F32" s="870"/>
      <c r="G32" s="870"/>
      <c r="H32" s="870"/>
      <c r="I32" s="870"/>
      <c r="J32" s="870"/>
      <c r="K32" s="870"/>
      <c r="L32" s="870"/>
      <c r="M32" s="870"/>
      <c r="N32" s="870"/>
      <c r="O32" s="870"/>
      <c r="P32" s="870"/>
      <c r="Q32" s="870"/>
      <c r="R32" s="577"/>
      <c r="S32" s="577"/>
      <c r="T32" s="577"/>
      <c r="U32" s="577"/>
    </row>
    <row r="33" spans="2:21" x14ac:dyDescent="0.25">
      <c r="B33" s="548"/>
      <c r="C33" s="847" t="s">
        <v>305</v>
      </c>
      <c r="D33" s="847"/>
      <c r="E33" s="847"/>
      <c r="F33" s="847"/>
      <c r="G33" s="847"/>
      <c r="H33" s="847"/>
      <c r="I33" s="847"/>
      <c r="J33" s="847"/>
      <c r="K33" s="847"/>
      <c r="L33" s="847"/>
      <c r="M33" s="847"/>
      <c r="N33" s="847"/>
      <c r="O33" s="847"/>
      <c r="P33" s="847"/>
      <c r="Q33" s="847"/>
      <c r="R33" s="847"/>
      <c r="S33" s="847"/>
      <c r="T33" s="847"/>
      <c r="U33" s="847"/>
    </row>
    <row r="34" spans="2:21" ht="15" hidden="1" customHeight="1" x14ac:dyDescent="0.25">
      <c r="B34" s="548"/>
      <c r="C34" s="847" t="s">
        <v>301</v>
      </c>
      <c r="D34" s="847"/>
      <c r="E34" s="847"/>
      <c r="F34" s="847"/>
      <c r="G34" s="847"/>
      <c r="H34" s="847"/>
      <c r="I34" s="847"/>
      <c r="J34" s="847"/>
      <c r="K34" s="847"/>
      <c r="L34" s="847"/>
      <c r="M34" s="847"/>
      <c r="N34" s="847"/>
      <c r="O34" s="847"/>
      <c r="P34" s="847"/>
      <c r="Q34" s="847"/>
      <c r="R34" s="847"/>
      <c r="S34" s="847"/>
      <c r="T34" s="847"/>
      <c r="U34" s="847"/>
    </row>
    <row r="35" spans="2:21" hidden="1" x14ac:dyDescent="0.25">
      <c r="B35" s="548"/>
      <c r="C35" s="553"/>
      <c r="D35" s="553"/>
      <c r="E35" s="553"/>
      <c r="F35" s="553"/>
      <c r="G35" s="553"/>
      <c r="H35" s="553"/>
      <c r="I35" s="553"/>
      <c r="J35" s="553"/>
      <c r="K35" s="555"/>
      <c r="L35" s="555"/>
      <c r="M35" s="553"/>
      <c r="N35" s="553"/>
      <c r="O35" s="555"/>
      <c r="P35" s="553"/>
      <c r="Q35" s="553"/>
      <c r="R35" s="577"/>
      <c r="S35" s="577"/>
      <c r="T35" s="577"/>
      <c r="U35" s="577"/>
    </row>
    <row r="36" spans="2:21" hidden="1" x14ac:dyDescent="0.25">
      <c r="B36" s="548"/>
      <c r="C36" s="850" t="s">
        <v>85</v>
      </c>
      <c r="D36" s="556" t="s">
        <v>86</v>
      </c>
      <c r="E36" s="556" t="s">
        <v>21</v>
      </c>
      <c r="F36" s="556" t="s">
        <v>119</v>
      </c>
      <c r="G36" s="557" t="s">
        <v>120</v>
      </c>
      <c r="H36" s="557" t="s">
        <v>84</v>
      </c>
      <c r="I36" s="556" t="s">
        <v>121</v>
      </c>
      <c r="J36" s="556" t="s">
        <v>122</v>
      </c>
      <c r="K36" s="555"/>
      <c r="L36" s="555"/>
      <c r="M36" s="553"/>
      <c r="N36" s="553"/>
      <c r="O36" s="555"/>
      <c r="P36" s="553"/>
      <c r="Q36" s="553"/>
      <c r="R36" s="577"/>
      <c r="S36" s="577"/>
      <c r="T36" s="577"/>
      <c r="U36" s="577"/>
    </row>
    <row r="37" spans="2:21" hidden="1" x14ac:dyDescent="0.25">
      <c r="B37" s="548"/>
      <c r="C37" s="851"/>
      <c r="D37" s="558" t="s">
        <v>91</v>
      </c>
      <c r="E37" s="558" t="s">
        <v>31</v>
      </c>
      <c r="F37" s="558" t="s">
        <v>123</v>
      </c>
      <c r="G37" s="559" t="s">
        <v>124</v>
      </c>
      <c r="H37" s="559" t="s">
        <v>125</v>
      </c>
      <c r="I37" s="558" t="s">
        <v>126</v>
      </c>
      <c r="J37" s="558" t="s">
        <v>127</v>
      </c>
      <c r="K37" s="555"/>
      <c r="L37" s="555"/>
      <c r="M37" s="553"/>
      <c r="N37" s="553"/>
      <c r="O37" s="555"/>
      <c r="P37" s="553"/>
      <c r="Q37" s="553"/>
      <c r="R37" s="577"/>
      <c r="S37" s="577"/>
      <c r="T37" s="577"/>
      <c r="U37" s="577"/>
    </row>
    <row r="38" spans="2:21" hidden="1" x14ac:dyDescent="0.25">
      <c r="B38" s="548"/>
      <c r="C38" s="851"/>
      <c r="D38" s="560">
        <v>2014</v>
      </c>
      <c r="E38" s="560" t="s">
        <v>128</v>
      </c>
      <c r="F38" s="560" t="s">
        <v>129</v>
      </c>
      <c r="G38" s="559" t="s">
        <v>130</v>
      </c>
      <c r="H38" s="559" t="s">
        <v>131</v>
      </c>
      <c r="I38" s="558">
        <v>2014</v>
      </c>
      <c r="J38" s="558" t="s">
        <v>132</v>
      </c>
      <c r="K38" s="555"/>
      <c r="L38" s="555"/>
      <c r="M38" s="553"/>
      <c r="N38" s="553"/>
      <c r="O38" s="555"/>
      <c r="P38" s="553"/>
      <c r="Q38" s="553"/>
      <c r="R38" s="577"/>
      <c r="S38" s="577"/>
      <c r="T38" s="577"/>
      <c r="U38" s="577"/>
    </row>
    <row r="39" spans="2:21" hidden="1" x14ac:dyDescent="0.25">
      <c r="B39" s="548"/>
      <c r="C39" s="852"/>
      <c r="D39" s="561" t="s">
        <v>72</v>
      </c>
      <c r="E39" s="561" t="s">
        <v>99</v>
      </c>
      <c r="F39" s="561" t="s">
        <v>73</v>
      </c>
      <c r="G39" s="561" t="s">
        <v>100</v>
      </c>
      <c r="H39" s="561" t="s">
        <v>75</v>
      </c>
      <c r="I39" s="561" t="s">
        <v>133</v>
      </c>
      <c r="J39" s="561" t="s">
        <v>76</v>
      </c>
      <c r="K39" s="555"/>
      <c r="L39" s="555"/>
      <c r="M39" s="553"/>
      <c r="N39" s="553"/>
      <c r="O39" s="555"/>
      <c r="P39" s="553"/>
      <c r="Q39" s="553"/>
      <c r="R39" s="577"/>
      <c r="S39" s="577"/>
      <c r="T39" s="577"/>
      <c r="U39" s="577"/>
    </row>
    <row r="40" spans="2:21" hidden="1" x14ac:dyDescent="0.25">
      <c r="B40" s="548"/>
      <c r="C40" s="562" t="s">
        <v>46</v>
      </c>
      <c r="D40" s="563">
        <v>3.62</v>
      </c>
      <c r="E40" s="564">
        <f>[1]Datos!K$23*FFM!D40%</f>
        <v>15655542.292800002</v>
      </c>
      <c r="F40" s="565">
        <f>E40*0.7</f>
        <v>10958879.60496</v>
      </c>
      <c r="G40" s="565">
        <f t="shared" ref="G40:G60" si="16">H9+K9</f>
        <v>1463936.2090959563</v>
      </c>
      <c r="H40" s="565">
        <f t="shared" ref="H40:H60" si="17">E40+G40</f>
        <v>17119478.501895957</v>
      </c>
      <c r="I40" s="565">
        <f>F40+G40</f>
        <v>12422815.814055957</v>
      </c>
      <c r="J40" s="566">
        <f>H40-I40</f>
        <v>4696662.6878399998</v>
      </c>
      <c r="K40" s="555"/>
      <c r="L40" s="555"/>
      <c r="M40" s="553"/>
      <c r="N40" s="553"/>
      <c r="O40" s="555"/>
      <c r="P40" s="553"/>
      <c r="Q40" s="553"/>
      <c r="R40" s="577"/>
      <c r="S40" s="577"/>
      <c r="T40" s="577"/>
      <c r="U40" s="577"/>
    </row>
    <row r="41" spans="2:21" hidden="1" x14ac:dyDescent="0.25">
      <c r="B41" s="548"/>
      <c r="C41" s="567" t="s">
        <v>47</v>
      </c>
      <c r="D41" s="568">
        <v>2.4700000000000002</v>
      </c>
      <c r="E41" s="569">
        <f>[1]Datos!K$23*FFM!D41%</f>
        <v>10682096.536800001</v>
      </c>
      <c r="F41" s="565">
        <f t="shared" ref="F41:F60" si="18">E41*0.7</f>
        <v>7477467.5757600004</v>
      </c>
      <c r="G41" s="565">
        <f t="shared" si="16"/>
        <v>701778.05958981602</v>
      </c>
      <c r="H41" s="565">
        <f t="shared" si="17"/>
        <v>11383874.596389817</v>
      </c>
      <c r="I41" s="565">
        <f t="shared" ref="I41:I59" si="19">F41+G41</f>
        <v>8179245.6353498166</v>
      </c>
      <c r="J41" s="566">
        <f t="shared" ref="J41:J59" si="20">H41-I41</f>
        <v>3204628.9610400004</v>
      </c>
      <c r="K41" s="555"/>
      <c r="L41" s="555"/>
      <c r="M41" s="553"/>
      <c r="N41" s="553"/>
      <c r="O41" s="555"/>
      <c r="P41" s="553"/>
      <c r="Q41" s="553"/>
      <c r="R41" s="577"/>
      <c r="S41" s="577"/>
      <c r="T41" s="577"/>
      <c r="U41" s="577"/>
    </row>
    <row r="42" spans="2:21" hidden="1" x14ac:dyDescent="0.25">
      <c r="B42" s="548"/>
      <c r="C42" s="567" t="s">
        <v>48</v>
      </c>
      <c r="D42" s="568">
        <v>2.33</v>
      </c>
      <c r="E42" s="569">
        <f>[1]Datos!K$23*FFM!D42%</f>
        <v>10076633.575200001</v>
      </c>
      <c r="F42" s="565">
        <f t="shared" si="18"/>
        <v>7053643.5026400005</v>
      </c>
      <c r="G42" s="565">
        <f t="shared" si="16"/>
        <v>453774.31670410372</v>
      </c>
      <c r="H42" s="565">
        <f t="shared" si="17"/>
        <v>10530407.891904105</v>
      </c>
      <c r="I42" s="565">
        <f t="shared" si="19"/>
        <v>7507417.8193441043</v>
      </c>
      <c r="J42" s="566">
        <f t="shared" si="20"/>
        <v>3022990.0725600002</v>
      </c>
      <c r="K42" s="555"/>
      <c r="L42" s="555"/>
      <c r="M42" s="553"/>
      <c r="N42" s="553"/>
      <c r="O42" s="555"/>
      <c r="P42" s="553"/>
      <c r="Q42" s="553"/>
      <c r="R42" s="577"/>
      <c r="S42" s="577"/>
      <c r="T42" s="577"/>
      <c r="U42" s="577"/>
    </row>
    <row r="43" spans="2:21" hidden="1" x14ac:dyDescent="0.25">
      <c r="B43" s="548"/>
      <c r="C43" s="567" t="s">
        <v>49</v>
      </c>
      <c r="D43" s="568">
        <v>2.81</v>
      </c>
      <c r="E43" s="569">
        <f>[1]Datos!K$23*FFM!D43%</f>
        <v>12152506.5864</v>
      </c>
      <c r="F43" s="565">
        <f t="shared" si="18"/>
        <v>8506754.6104799993</v>
      </c>
      <c r="G43" s="565">
        <f t="shared" si="16"/>
        <v>16943885.74882384</v>
      </c>
      <c r="H43" s="565">
        <f t="shared" si="17"/>
        <v>29096392.335223839</v>
      </c>
      <c r="I43" s="565">
        <f t="shared" si="19"/>
        <v>25450640.35930384</v>
      </c>
      <c r="J43" s="566">
        <f t="shared" si="20"/>
        <v>3645751.9759199992</v>
      </c>
      <c r="K43" s="555"/>
      <c r="L43" s="555"/>
      <c r="M43" s="565"/>
      <c r="N43" s="553"/>
      <c r="O43" s="555"/>
      <c r="P43" s="553"/>
      <c r="Q43" s="553"/>
      <c r="R43" s="577"/>
      <c r="S43" s="577"/>
      <c r="T43" s="577"/>
      <c r="U43" s="577"/>
    </row>
    <row r="44" spans="2:21" hidden="1" x14ac:dyDescent="0.25">
      <c r="B44" s="548"/>
      <c r="C44" s="567" t="s">
        <v>50</v>
      </c>
      <c r="D44" s="568">
        <v>4.6399999999999997</v>
      </c>
      <c r="E44" s="569">
        <f>[1]Datos!K$23*FFM!D44%</f>
        <v>20066772.441599999</v>
      </c>
      <c r="F44" s="565">
        <f t="shared" si="18"/>
        <v>14046740.709119998</v>
      </c>
      <c r="G44" s="565">
        <f t="shared" si="16"/>
        <v>3116416.6261690846</v>
      </c>
      <c r="H44" s="565">
        <f t="shared" si="17"/>
        <v>23183189.067769084</v>
      </c>
      <c r="I44" s="565">
        <f t="shared" si="19"/>
        <v>17163157.335289083</v>
      </c>
      <c r="J44" s="566">
        <f t="shared" si="20"/>
        <v>6020031.7324800007</v>
      </c>
      <c r="K44" s="555"/>
      <c r="L44" s="555"/>
      <c r="M44" s="565"/>
      <c r="N44" s="553"/>
      <c r="O44" s="555"/>
      <c r="P44" s="553"/>
      <c r="Q44" s="553"/>
      <c r="R44" s="577"/>
      <c r="S44" s="577"/>
      <c r="T44" s="577"/>
      <c r="U44" s="577"/>
    </row>
    <row r="45" spans="2:21" hidden="1" x14ac:dyDescent="0.25">
      <c r="B45" s="548"/>
      <c r="C45" s="567" t="s">
        <v>51</v>
      </c>
      <c r="D45" s="568">
        <v>1.5</v>
      </c>
      <c r="E45" s="569">
        <f>[1]Datos!K$23*FFM!D45%</f>
        <v>6487103.1600000001</v>
      </c>
      <c r="F45" s="565">
        <f t="shared" si="18"/>
        <v>4540972.2119999994</v>
      </c>
      <c r="G45" s="565">
        <f t="shared" si="16"/>
        <v>1105334.1360143516</v>
      </c>
      <c r="H45" s="565">
        <f t="shared" si="17"/>
        <v>7592437.2960143518</v>
      </c>
      <c r="I45" s="565">
        <f t="shared" si="19"/>
        <v>5646306.348014351</v>
      </c>
      <c r="J45" s="566">
        <f t="shared" si="20"/>
        <v>1946130.9480000008</v>
      </c>
      <c r="K45" s="555"/>
      <c r="L45" s="555"/>
      <c r="M45" s="565"/>
      <c r="N45" s="553"/>
      <c r="O45" s="555"/>
      <c r="P45" s="553"/>
      <c r="Q45" s="553"/>
      <c r="R45" s="577"/>
      <c r="S45" s="577"/>
      <c r="T45" s="577"/>
      <c r="U45" s="577"/>
    </row>
    <row r="46" spans="2:21" hidden="1" x14ac:dyDescent="0.25">
      <c r="B46" s="548"/>
      <c r="C46" s="567" t="s">
        <v>52</v>
      </c>
      <c r="D46" s="568">
        <v>1.53</v>
      </c>
      <c r="E46" s="569">
        <f>[1]Datos!K$23*FFM!D46%</f>
        <v>6616845.2232000008</v>
      </c>
      <c r="F46" s="565">
        <f t="shared" si="18"/>
        <v>4631791.6562400004</v>
      </c>
      <c r="G46" s="565">
        <f t="shared" si="16"/>
        <v>330528.53572914912</v>
      </c>
      <c r="H46" s="565">
        <f t="shared" si="17"/>
        <v>6947373.7589291502</v>
      </c>
      <c r="I46" s="565">
        <f t="shared" si="19"/>
        <v>4962320.1919691497</v>
      </c>
      <c r="J46" s="566">
        <f t="shared" si="20"/>
        <v>1985053.5669600004</v>
      </c>
      <c r="K46" s="555"/>
      <c r="L46" s="555"/>
      <c r="M46" s="553"/>
      <c r="N46" s="553"/>
      <c r="O46" s="555"/>
      <c r="P46" s="553"/>
      <c r="Q46" s="553"/>
      <c r="R46" s="577"/>
      <c r="S46" s="577"/>
      <c r="T46" s="577"/>
      <c r="U46" s="577"/>
    </row>
    <row r="47" spans="2:21" hidden="1" x14ac:dyDescent="0.25">
      <c r="B47" s="548"/>
      <c r="C47" s="567" t="s">
        <v>53</v>
      </c>
      <c r="D47" s="568">
        <v>3.16</v>
      </c>
      <c r="E47" s="569">
        <f>[1]Datos!K$23*FFM!D47%</f>
        <v>13666163.990400001</v>
      </c>
      <c r="F47" s="565">
        <f t="shared" si="18"/>
        <v>9566314.7932799999</v>
      </c>
      <c r="G47" s="565">
        <f t="shared" si="16"/>
        <v>1280778.0839859429</v>
      </c>
      <c r="H47" s="565">
        <f t="shared" si="17"/>
        <v>14946942.074385945</v>
      </c>
      <c r="I47" s="565">
        <f t="shared" si="19"/>
        <v>10847092.877265943</v>
      </c>
      <c r="J47" s="566">
        <f t="shared" si="20"/>
        <v>4099849.1971200015</v>
      </c>
      <c r="K47" s="555"/>
      <c r="L47" s="555"/>
      <c r="M47" s="553"/>
      <c r="N47" s="553"/>
      <c r="O47" s="555"/>
      <c r="P47" s="553"/>
      <c r="Q47" s="553"/>
      <c r="R47" s="577"/>
      <c r="S47" s="577"/>
      <c r="T47" s="577"/>
      <c r="U47" s="577"/>
    </row>
    <row r="48" spans="2:21" hidden="1" x14ac:dyDescent="0.25">
      <c r="B48" s="548"/>
      <c r="C48" s="567" t="s">
        <v>54</v>
      </c>
      <c r="D48" s="568">
        <v>2.81</v>
      </c>
      <c r="E48" s="569">
        <f>[1]Datos!K$23*FFM!D48%</f>
        <v>12152506.5864</v>
      </c>
      <c r="F48" s="565">
        <f t="shared" si="18"/>
        <v>8506754.6104799993</v>
      </c>
      <c r="G48" s="565">
        <f t="shared" si="16"/>
        <v>632973.13146006106</v>
      </c>
      <c r="H48" s="565">
        <f t="shared" si="17"/>
        <v>12785479.717860062</v>
      </c>
      <c r="I48" s="565">
        <f t="shared" si="19"/>
        <v>9139727.7419400606</v>
      </c>
      <c r="J48" s="566">
        <f t="shared" si="20"/>
        <v>3645751.975920001</v>
      </c>
      <c r="K48" s="555"/>
      <c r="L48" s="555"/>
      <c r="M48" s="553"/>
      <c r="N48" s="553"/>
      <c r="O48" s="555"/>
      <c r="P48" s="553"/>
      <c r="Q48" s="553"/>
      <c r="R48" s="577"/>
      <c r="S48" s="577"/>
      <c r="T48" s="577"/>
      <c r="U48" s="577"/>
    </row>
    <row r="49" spans="2:21" hidden="1" x14ac:dyDescent="0.25">
      <c r="B49" s="548"/>
      <c r="C49" s="567" t="s">
        <v>55</v>
      </c>
      <c r="D49" s="568">
        <v>1.6</v>
      </c>
      <c r="E49" s="569">
        <f>[1]Datos!K$23*FFM!D49%</f>
        <v>6919576.7039999999</v>
      </c>
      <c r="F49" s="565">
        <f t="shared" si="18"/>
        <v>4843703.6927999994</v>
      </c>
      <c r="G49" s="565">
        <f t="shared" si="16"/>
        <v>475719.77015606762</v>
      </c>
      <c r="H49" s="565">
        <f t="shared" si="17"/>
        <v>7395296.4741560677</v>
      </c>
      <c r="I49" s="565">
        <f t="shared" si="19"/>
        <v>5319423.4629560672</v>
      </c>
      <c r="J49" s="566">
        <f t="shared" si="20"/>
        <v>2075873.0112000005</v>
      </c>
      <c r="K49" s="555"/>
      <c r="L49" s="555"/>
      <c r="M49" s="553"/>
      <c r="N49" s="553"/>
      <c r="O49" s="555"/>
      <c r="P49" s="553"/>
      <c r="Q49" s="553"/>
      <c r="R49" s="577"/>
      <c r="S49" s="577"/>
      <c r="T49" s="577"/>
      <c r="U49" s="577"/>
    </row>
    <row r="50" spans="2:21" hidden="1" x14ac:dyDescent="0.25">
      <c r="B50" s="548"/>
      <c r="C50" s="567" t="s">
        <v>56</v>
      </c>
      <c r="D50" s="568">
        <v>2.84</v>
      </c>
      <c r="E50" s="569">
        <f>[1]Datos!K$23*FFM!D50%</f>
        <v>12282248.649599999</v>
      </c>
      <c r="F50" s="565">
        <f t="shared" si="18"/>
        <v>8597574.0547199994</v>
      </c>
      <c r="G50" s="565">
        <f t="shared" si="16"/>
        <v>981285.43936742714</v>
      </c>
      <c r="H50" s="565">
        <f t="shared" si="17"/>
        <v>13263534.088967426</v>
      </c>
      <c r="I50" s="565">
        <f t="shared" si="19"/>
        <v>9578859.494087426</v>
      </c>
      <c r="J50" s="566">
        <f t="shared" si="20"/>
        <v>3684674.5948799998</v>
      </c>
      <c r="K50" s="555"/>
      <c r="L50" s="555"/>
      <c r="M50" s="553"/>
      <c r="N50" s="553"/>
      <c r="O50" s="555"/>
      <c r="P50" s="553"/>
      <c r="Q50" s="553"/>
      <c r="R50" s="577"/>
      <c r="S50" s="577"/>
      <c r="T50" s="577"/>
      <c r="U50" s="577"/>
    </row>
    <row r="51" spans="2:21" hidden="1" x14ac:dyDescent="0.25">
      <c r="B51" s="548"/>
      <c r="C51" s="567" t="s">
        <v>57</v>
      </c>
      <c r="D51" s="568">
        <v>3.33</v>
      </c>
      <c r="E51" s="569">
        <f>[1]Datos!K$23*FFM!D51%</f>
        <v>14401369.015200002</v>
      </c>
      <c r="F51" s="565">
        <f t="shared" si="18"/>
        <v>10080958.310640002</v>
      </c>
      <c r="G51" s="565">
        <f t="shared" si="16"/>
        <v>760151.70231649012</v>
      </c>
      <c r="H51" s="565">
        <f t="shared" si="17"/>
        <v>15161520.717516493</v>
      </c>
      <c r="I51" s="565">
        <f t="shared" si="19"/>
        <v>10841110.012956493</v>
      </c>
      <c r="J51" s="566">
        <f t="shared" si="20"/>
        <v>4320410.7045600004</v>
      </c>
      <c r="K51" s="555"/>
      <c r="L51" s="555"/>
      <c r="M51" s="553"/>
      <c r="N51" s="553"/>
      <c r="O51" s="555"/>
      <c r="P51" s="553"/>
      <c r="Q51" s="553"/>
      <c r="R51" s="577"/>
      <c r="S51" s="577"/>
      <c r="T51" s="577"/>
      <c r="U51" s="577"/>
    </row>
    <row r="52" spans="2:21" hidden="1" x14ac:dyDescent="0.25">
      <c r="B52" s="548"/>
      <c r="C52" s="567" t="s">
        <v>58</v>
      </c>
      <c r="D52" s="568">
        <v>4.6900000000000004</v>
      </c>
      <c r="E52" s="569">
        <f>[1]Datos!K$23*FFM!D52%</f>
        <v>20283009.213600002</v>
      </c>
      <c r="F52" s="565">
        <f t="shared" si="18"/>
        <v>14198106.449520001</v>
      </c>
      <c r="G52" s="565">
        <f t="shared" si="16"/>
        <v>1434573.2953398924</v>
      </c>
      <c r="H52" s="565">
        <f t="shared" si="17"/>
        <v>21717582.508939896</v>
      </c>
      <c r="I52" s="565">
        <f t="shared" si="19"/>
        <v>15632679.744859893</v>
      </c>
      <c r="J52" s="566">
        <f t="shared" si="20"/>
        <v>6084902.7640800029</v>
      </c>
      <c r="K52" s="555"/>
      <c r="L52" s="555"/>
      <c r="M52" s="553"/>
      <c r="N52" s="553"/>
      <c r="O52" s="555"/>
      <c r="P52" s="553"/>
      <c r="Q52" s="553"/>
      <c r="R52" s="577"/>
      <c r="S52" s="577"/>
      <c r="T52" s="577"/>
      <c r="U52" s="577"/>
    </row>
    <row r="53" spans="2:21" hidden="1" x14ac:dyDescent="0.25">
      <c r="B53" s="548"/>
      <c r="C53" s="567" t="s">
        <v>59</v>
      </c>
      <c r="D53" s="568">
        <v>2.13</v>
      </c>
      <c r="E53" s="569">
        <f>[1]Datos!K$23*FFM!D53%</f>
        <v>9211686.4871999994</v>
      </c>
      <c r="F53" s="565">
        <f t="shared" si="18"/>
        <v>6448180.5410399996</v>
      </c>
      <c r="G53" s="565">
        <f t="shared" si="16"/>
        <v>275074.99128246633</v>
      </c>
      <c r="H53" s="565">
        <f t="shared" si="17"/>
        <v>9486761.4784824662</v>
      </c>
      <c r="I53" s="565">
        <f t="shared" si="19"/>
        <v>6723255.5323224664</v>
      </c>
      <c r="J53" s="566">
        <f t="shared" si="20"/>
        <v>2763505.9461599998</v>
      </c>
      <c r="K53" s="555"/>
      <c r="L53" s="555"/>
      <c r="M53" s="553"/>
      <c r="N53" s="553"/>
      <c r="O53" s="555"/>
      <c r="P53" s="553"/>
      <c r="Q53" s="553"/>
      <c r="R53" s="577"/>
      <c r="S53" s="577"/>
      <c r="T53" s="577"/>
      <c r="U53" s="577"/>
    </row>
    <row r="54" spans="2:21" hidden="1" x14ac:dyDescent="0.25">
      <c r="B54" s="548"/>
      <c r="C54" s="567" t="s">
        <v>60</v>
      </c>
      <c r="D54" s="568">
        <v>2.81</v>
      </c>
      <c r="E54" s="569">
        <f>[1]Datos!K$23*FFM!D54%</f>
        <v>12152506.5864</v>
      </c>
      <c r="F54" s="565">
        <f t="shared" si="18"/>
        <v>8506754.6104799993</v>
      </c>
      <c r="G54" s="565">
        <f t="shared" si="16"/>
        <v>811132.06958391354</v>
      </c>
      <c r="H54" s="565">
        <f t="shared" si="17"/>
        <v>12963638.655983914</v>
      </c>
      <c r="I54" s="565">
        <f t="shared" si="19"/>
        <v>9317886.6800639126</v>
      </c>
      <c r="J54" s="566">
        <f t="shared" si="20"/>
        <v>3645751.975920001</v>
      </c>
      <c r="K54" s="555"/>
      <c r="L54" s="555"/>
      <c r="M54" s="553"/>
      <c r="N54" s="553"/>
      <c r="O54" s="555"/>
      <c r="P54" s="553"/>
      <c r="Q54" s="553"/>
      <c r="R54" s="577"/>
      <c r="S54" s="577"/>
      <c r="T54" s="577"/>
      <c r="U54" s="577"/>
    </row>
    <row r="55" spans="2:21" hidden="1" x14ac:dyDescent="0.25">
      <c r="B55" s="548"/>
      <c r="C55" s="567" t="s">
        <v>61</v>
      </c>
      <c r="D55" s="568">
        <v>8.34</v>
      </c>
      <c r="E55" s="569">
        <f>[1]Datos!K$23*FFM!D55%</f>
        <v>36068293.569600001</v>
      </c>
      <c r="F55" s="565">
        <f t="shared" si="18"/>
        <v>25247805.498719998</v>
      </c>
      <c r="G55" s="565">
        <f t="shared" si="16"/>
        <v>3252642.7521050931</v>
      </c>
      <c r="H55" s="565">
        <f t="shared" si="17"/>
        <v>39320936.321705095</v>
      </c>
      <c r="I55" s="565">
        <f t="shared" si="19"/>
        <v>28500448.250825092</v>
      </c>
      <c r="J55" s="566">
        <f t="shared" si="20"/>
        <v>10820488.070880003</v>
      </c>
      <c r="K55" s="555"/>
      <c r="L55" s="555"/>
      <c r="M55" s="553"/>
      <c r="N55" s="553"/>
      <c r="O55" s="555"/>
      <c r="P55" s="553"/>
      <c r="Q55" s="553"/>
      <c r="R55" s="577"/>
      <c r="S55" s="577"/>
      <c r="T55" s="577"/>
      <c r="U55" s="577"/>
    </row>
    <row r="56" spans="2:21" hidden="1" x14ac:dyDescent="0.25">
      <c r="B56" s="548"/>
      <c r="C56" s="567" t="s">
        <v>62</v>
      </c>
      <c r="D56" s="568">
        <v>3.5</v>
      </c>
      <c r="E56" s="569">
        <f>[1]Datos!K$23*FFM!D56%</f>
        <v>15136574.040000001</v>
      </c>
      <c r="F56" s="565">
        <f t="shared" si="18"/>
        <v>10595601.828</v>
      </c>
      <c r="G56" s="565">
        <f t="shared" si="16"/>
        <v>1220866.9653594627</v>
      </c>
      <c r="H56" s="565">
        <f t="shared" si="17"/>
        <v>16357441.005359463</v>
      </c>
      <c r="I56" s="565">
        <f t="shared" si="19"/>
        <v>11816468.793359462</v>
      </c>
      <c r="J56" s="566">
        <f t="shared" si="20"/>
        <v>4540972.2120000012</v>
      </c>
      <c r="K56" s="555"/>
      <c r="L56" s="555"/>
      <c r="M56" s="553"/>
      <c r="N56" s="553"/>
      <c r="O56" s="555"/>
      <c r="P56" s="553"/>
      <c r="Q56" s="553"/>
      <c r="R56" s="577"/>
      <c r="S56" s="577"/>
      <c r="T56" s="577"/>
      <c r="U56" s="577"/>
    </row>
    <row r="57" spans="2:21" hidden="1" x14ac:dyDescent="0.25">
      <c r="B57" s="548"/>
      <c r="C57" s="567" t="s">
        <v>63</v>
      </c>
      <c r="D57" s="568">
        <v>39</v>
      </c>
      <c r="E57" s="569">
        <f>[1]Datos!K$23*FFM!D57%</f>
        <v>168664682.16</v>
      </c>
      <c r="F57" s="565">
        <f t="shared" si="18"/>
        <v>118065277.51199999</v>
      </c>
      <c r="G57" s="565">
        <f t="shared" si="16"/>
        <v>21811794.098949432</v>
      </c>
      <c r="H57" s="565">
        <f t="shared" si="17"/>
        <v>190476476.25894943</v>
      </c>
      <c r="I57" s="565">
        <f t="shared" si="19"/>
        <v>139877071.61094943</v>
      </c>
      <c r="J57" s="566">
        <f t="shared" si="20"/>
        <v>50599404.648000002</v>
      </c>
      <c r="K57" s="555"/>
      <c r="L57" s="555"/>
      <c r="M57" s="553"/>
      <c r="N57" s="553"/>
      <c r="O57" s="555"/>
      <c r="P57" s="553"/>
      <c r="Q57" s="553"/>
      <c r="R57" s="577"/>
      <c r="S57" s="577"/>
      <c r="T57" s="577"/>
      <c r="U57" s="577"/>
    </row>
    <row r="58" spans="2:21" hidden="1" x14ac:dyDescent="0.25">
      <c r="B58" s="548"/>
      <c r="C58" s="567" t="s">
        <v>64</v>
      </c>
      <c r="D58" s="568">
        <v>3.79</v>
      </c>
      <c r="E58" s="569">
        <f>[1]Datos!K$23*FFM!D58%</f>
        <v>16390747.317600001</v>
      </c>
      <c r="F58" s="565">
        <f t="shared" si="18"/>
        <v>11473523.12232</v>
      </c>
      <c r="G58" s="565">
        <f t="shared" si="16"/>
        <v>906936.34263878129</v>
      </c>
      <c r="H58" s="565">
        <f t="shared" si="17"/>
        <v>17297683.66023878</v>
      </c>
      <c r="I58" s="565">
        <f t="shared" si="19"/>
        <v>12380459.464958781</v>
      </c>
      <c r="J58" s="566">
        <f t="shared" si="20"/>
        <v>4917224.1952799987</v>
      </c>
      <c r="K58" s="555"/>
      <c r="L58" s="555"/>
      <c r="M58" s="553"/>
      <c r="N58" s="553"/>
      <c r="O58" s="555"/>
      <c r="P58" s="553"/>
      <c r="Q58" s="553"/>
      <c r="R58" s="577"/>
      <c r="S58" s="577"/>
      <c r="T58" s="577"/>
      <c r="U58" s="577"/>
    </row>
    <row r="59" spans="2:21" hidden="1" x14ac:dyDescent="0.25">
      <c r="B59" s="548"/>
      <c r="C59" s="567" t="s">
        <v>65</v>
      </c>
      <c r="D59" s="568">
        <v>3.1</v>
      </c>
      <c r="E59" s="569">
        <f>[1]Datos!K$23*FFM!D59%</f>
        <v>13406679.864</v>
      </c>
      <c r="F59" s="565">
        <f t="shared" si="18"/>
        <v>9384675.9047999997</v>
      </c>
      <c r="G59" s="565">
        <f t="shared" si="16"/>
        <v>3167184.8253286588</v>
      </c>
      <c r="H59" s="565">
        <f t="shared" si="17"/>
        <v>16573864.689328659</v>
      </c>
      <c r="I59" s="565">
        <f t="shared" si="19"/>
        <v>12551860.730128659</v>
      </c>
      <c r="J59" s="566">
        <f t="shared" si="20"/>
        <v>4022003.9592000004</v>
      </c>
      <c r="K59" s="555"/>
      <c r="L59" s="555"/>
      <c r="M59" s="553"/>
      <c r="N59" s="553"/>
      <c r="O59" s="555"/>
      <c r="P59" s="553"/>
      <c r="Q59" s="553"/>
      <c r="R59" s="577"/>
      <c r="S59" s="577"/>
      <c r="T59" s="577"/>
      <c r="U59" s="577"/>
    </row>
    <row r="60" spans="2:21" hidden="1" x14ac:dyDescent="0.25">
      <c r="B60" s="548"/>
      <c r="C60" s="570" t="s">
        <v>66</v>
      </c>
      <c r="D60" s="571">
        <f>SUM(D40:D59)</f>
        <v>100</v>
      </c>
      <c r="E60" s="572">
        <f>SUM(E40:E59)</f>
        <v>432473544.00000006</v>
      </c>
      <c r="F60" s="572">
        <f t="shared" si="18"/>
        <v>302731480.80000001</v>
      </c>
      <c r="G60" s="572">
        <f t="shared" si="16"/>
        <v>61126767.099999994</v>
      </c>
      <c r="H60" s="572">
        <f t="shared" si="17"/>
        <v>493600311.10000002</v>
      </c>
      <c r="I60" s="572">
        <f>SUM(I40:I59)</f>
        <v>363858247.89999998</v>
      </c>
      <c r="J60" s="573">
        <v>0</v>
      </c>
      <c r="K60" s="555"/>
      <c r="L60" s="555"/>
      <c r="M60" s="553"/>
      <c r="N60" s="553"/>
      <c r="O60" s="555"/>
      <c r="P60" s="553"/>
      <c r="Q60" s="553"/>
      <c r="R60" s="577"/>
      <c r="S60" s="577"/>
      <c r="T60" s="577"/>
      <c r="U60" s="577"/>
    </row>
    <row r="61" spans="2:21" x14ac:dyDescent="0.25">
      <c r="B61" s="548"/>
      <c r="C61" s="847" t="s">
        <v>306</v>
      </c>
      <c r="D61" s="847"/>
      <c r="E61" s="847"/>
      <c r="F61" s="847"/>
      <c r="G61" s="847"/>
      <c r="H61" s="847"/>
      <c r="I61" s="847"/>
      <c r="J61" s="847"/>
      <c r="K61" s="847"/>
      <c r="L61" s="847"/>
      <c r="M61" s="847"/>
      <c r="N61" s="847"/>
      <c r="O61" s="847"/>
      <c r="P61" s="847"/>
      <c r="Q61" s="847"/>
      <c r="R61" s="847"/>
      <c r="S61" s="847"/>
      <c r="T61" s="847"/>
      <c r="U61" s="847"/>
    </row>
    <row r="62" spans="2:21" x14ac:dyDescent="0.25">
      <c r="B62" s="548"/>
      <c r="C62" s="848" t="s">
        <v>373</v>
      </c>
      <c r="D62" s="849"/>
      <c r="E62" s="849"/>
      <c r="F62" s="849"/>
      <c r="G62" s="849"/>
      <c r="H62" s="849"/>
      <c r="I62" s="849"/>
      <c r="J62" s="849"/>
      <c r="K62" s="849"/>
      <c r="L62" s="849"/>
      <c r="M62" s="849"/>
      <c r="N62" s="849"/>
      <c r="O62" s="849"/>
      <c r="P62" s="849"/>
      <c r="Q62" s="849"/>
      <c r="R62" s="849"/>
      <c r="S62" s="849"/>
      <c r="T62" s="849"/>
      <c r="U62" s="849"/>
    </row>
    <row r="63" spans="2:21" x14ac:dyDescent="0.25">
      <c r="B63" s="548"/>
      <c r="C63" s="553"/>
      <c r="D63" s="554"/>
      <c r="E63" s="553"/>
      <c r="F63" s="553"/>
      <c r="G63" s="553"/>
      <c r="H63" s="555"/>
      <c r="I63" s="553"/>
      <c r="J63" s="553"/>
      <c r="K63" s="555"/>
      <c r="L63" s="555"/>
      <c r="M63" s="553"/>
      <c r="N63" s="553"/>
      <c r="O63" s="555"/>
      <c r="P63" s="553"/>
      <c r="Q63" s="553"/>
    </row>
    <row r="64" spans="2:21" x14ac:dyDescent="0.25">
      <c r="B64" s="548"/>
      <c r="C64" s="553"/>
      <c r="D64" s="554"/>
      <c r="E64" s="553"/>
      <c r="F64" s="553"/>
      <c r="G64" s="553"/>
      <c r="H64" s="555"/>
      <c r="I64" s="553"/>
      <c r="J64" s="553"/>
      <c r="K64" s="555"/>
      <c r="L64" s="555"/>
      <c r="M64" s="553"/>
      <c r="N64" s="553"/>
      <c r="O64" s="555"/>
      <c r="P64" s="553"/>
      <c r="Q64" s="553"/>
    </row>
    <row r="65" spans="2:17" x14ac:dyDescent="0.25">
      <c r="B65" s="548"/>
      <c r="C65" s="547"/>
      <c r="D65" s="549"/>
      <c r="E65" s="547"/>
      <c r="F65" s="547"/>
      <c r="G65" s="547"/>
      <c r="H65" s="546"/>
      <c r="I65" s="547"/>
      <c r="J65" s="547"/>
      <c r="K65" s="546"/>
      <c r="L65" s="546"/>
      <c r="M65" s="547"/>
      <c r="N65" s="547"/>
      <c r="O65" s="546"/>
      <c r="P65" s="547"/>
      <c r="Q65" s="547"/>
    </row>
    <row r="66" spans="2:17" x14ac:dyDescent="0.25">
      <c r="B66" s="548"/>
      <c r="C66" s="547"/>
      <c r="D66" s="549"/>
      <c r="E66" s="547"/>
      <c r="F66" s="547"/>
      <c r="G66" s="547"/>
      <c r="H66" s="546"/>
      <c r="I66" s="547"/>
      <c r="J66" s="547"/>
      <c r="K66" s="546"/>
      <c r="L66" s="546"/>
      <c r="M66" s="547"/>
      <c r="N66" s="547"/>
      <c r="O66" s="546"/>
      <c r="P66" s="547"/>
      <c r="Q66" s="547"/>
    </row>
  </sheetData>
  <mergeCells count="24">
    <mergeCell ref="B2:Q2"/>
    <mergeCell ref="B1:Q1"/>
    <mergeCell ref="B4:B8"/>
    <mergeCell ref="Q4:Q7"/>
    <mergeCell ref="I6:J6"/>
    <mergeCell ref="M6:N6"/>
    <mergeCell ref="L5:L7"/>
    <mergeCell ref="M5:N5"/>
    <mergeCell ref="C61:U61"/>
    <mergeCell ref="C62:U62"/>
    <mergeCell ref="C36:C39"/>
    <mergeCell ref="C4:C8"/>
    <mergeCell ref="D4:E4"/>
    <mergeCell ref="F4:H4"/>
    <mergeCell ref="I5:J5"/>
    <mergeCell ref="D5:D7"/>
    <mergeCell ref="E5:E7"/>
    <mergeCell ref="I4:L4"/>
    <mergeCell ref="B29:C29"/>
    <mergeCell ref="B30:Q30"/>
    <mergeCell ref="C32:Q32"/>
    <mergeCell ref="C33:U33"/>
    <mergeCell ref="C34:U34"/>
    <mergeCell ref="M4:O4"/>
  </mergeCells>
  <pageMargins left="0.70866141732283472" right="0.70866141732283472" top="0.74803149606299213" bottom="0.74803149606299213" header="0.31496062992125984" footer="0.31496062992125984"/>
  <pageSetup paperSize="5"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3:U38"/>
  <sheetViews>
    <sheetView zoomScaleNormal="100" workbookViewId="0">
      <selection activeCell="B4" sqref="B4:L4"/>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12"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6" customFormat="1" x14ac:dyDescent="0.25">
      <c r="B3" s="888"/>
      <c r="C3" s="888"/>
      <c r="D3" s="888"/>
      <c r="E3" s="888"/>
      <c r="F3" s="888"/>
      <c r="G3" s="888"/>
      <c r="H3" s="888"/>
      <c r="I3" s="888"/>
      <c r="J3" s="888"/>
      <c r="K3" s="888"/>
      <c r="L3" s="888"/>
    </row>
    <row r="4" spans="2:14" ht="15" customHeight="1" x14ac:dyDescent="0.25">
      <c r="B4" s="889" t="s">
        <v>375</v>
      </c>
      <c r="C4" s="889"/>
      <c r="D4" s="889"/>
      <c r="E4" s="889"/>
      <c r="F4" s="889"/>
      <c r="G4" s="889"/>
      <c r="H4" s="889"/>
      <c r="I4" s="889"/>
      <c r="J4" s="889"/>
      <c r="K4" s="889"/>
      <c r="L4" s="889"/>
    </row>
    <row r="5" spans="2:14" ht="15" customHeight="1" thickBot="1" x14ac:dyDescent="0.3">
      <c r="B5" s="889"/>
      <c r="C5" s="889"/>
      <c r="D5" s="889"/>
      <c r="E5" s="889"/>
      <c r="F5" s="889"/>
      <c r="G5" s="889"/>
      <c r="H5" s="889"/>
      <c r="I5" s="889"/>
      <c r="J5" s="889"/>
      <c r="K5" s="889"/>
      <c r="L5" s="889"/>
    </row>
    <row r="6" spans="2:14" ht="15" customHeight="1" thickBot="1" x14ac:dyDescent="0.3">
      <c r="B6" s="893" t="s">
        <v>14</v>
      </c>
      <c r="C6" s="896" t="s">
        <v>344</v>
      </c>
      <c r="D6" s="898" t="s">
        <v>345</v>
      </c>
      <c r="E6" s="900" t="s">
        <v>346</v>
      </c>
      <c r="F6" s="901"/>
      <c r="G6" s="902" t="s">
        <v>347</v>
      </c>
      <c r="H6" s="900"/>
      <c r="I6" s="901"/>
      <c r="J6" s="886" t="s">
        <v>348</v>
      </c>
      <c r="K6" s="886" t="s">
        <v>367</v>
      </c>
      <c r="L6" s="616" t="s">
        <v>170</v>
      </c>
    </row>
    <row r="7" spans="2:14" x14ac:dyDescent="0.25">
      <c r="B7" s="894"/>
      <c r="C7" s="897"/>
      <c r="D7" s="899"/>
      <c r="E7" s="903" t="s">
        <v>349</v>
      </c>
      <c r="F7" s="905" t="s">
        <v>350</v>
      </c>
      <c r="G7" s="886" t="s">
        <v>351</v>
      </c>
      <c r="H7" s="886" t="s">
        <v>352</v>
      </c>
      <c r="I7" s="886" t="s">
        <v>353</v>
      </c>
      <c r="J7" s="887"/>
      <c r="K7" s="887"/>
      <c r="L7" s="617" t="s">
        <v>354</v>
      </c>
    </row>
    <row r="8" spans="2:14" x14ac:dyDescent="0.25">
      <c r="B8" s="894"/>
      <c r="C8" s="897"/>
      <c r="D8" s="899"/>
      <c r="E8" s="904"/>
      <c r="F8" s="906"/>
      <c r="G8" s="887"/>
      <c r="H8" s="887"/>
      <c r="I8" s="887"/>
      <c r="J8" s="887"/>
      <c r="K8" s="887"/>
      <c r="L8" s="618" t="s">
        <v>355</v>
      </c>
    </row>
    <row r="9" spans="2:14" x14ac:dyDescent="0.25">
      <c r="B9" s="894"/>
      <c r="C9" s="897"/>
      <c r="D9" s="899"/>
      <c r="E9" s="904"/>
      <c r="F9" s="619">
        <v>0.7</v>
      </c>
      <c r="G9" s="887"/>
      <c r="H9" s="887"/>
      <c r="I9" s="887"/>
      <c r="J9" s="887"/>
      <c r="K9" s="618" t="s">
        <v>45</v>
      </c>
      <c r="L9" s="618" t="s">
        <v>356</v>
      </c>
    </row>
    <row r="10" spans="2:14" ht="15.75" thickBot="1" x14ac:dyDescent="0.3">
      <c r="B10" s="895"/>
      <c r="C10" s="620" t="s">
        <v>72</v>
      </c>
      <c r="D10" s="621" t="s">
        <v>99</v>
      </c>
      <c r="E10" s="622" t="s">
        <v>73</v>
      </c>
      <c r="F10" s="621" t="s">
        <v>357</v>
      </c>
      <c r="G10" s="620" t="s">
        <v>358</v>
      </c>
      <c r="H10" s="621" t="s">
        <v>359</v>
      </c>
      <c r="I10" s="623" t="s">
        <v>360</v>
      </c>
      <c r="J10" s="621" t="s">
        <v>361</v>
      </c>
      <c r="K10" s="621" t="s">
        <v>78</v>
      </c>
      <c r="L10" s="621" t="s">
        <v>362</v>
      </c>
    </row>
    <row r="11" spans="2:14" x14ac:dyDescent="0.25">
      <c r="B11" s="624" t="s">
        <v>46</v>
      </c>
      <c r="C11" s="625">
        <v>3.81</v>
      </c>
      <c r="D11" s="626">
        <v>2891598.5474999999</v>
      </c>
      <c r="E11" s="627">
        <f>FGP!E8</f>
        <v>3.1589687142796663</v>
      </c>
      <c r="F11" s="628">
        <f>E11*0.7</f>
        <v>2.2112780999957664</v>
      </c>
      <c r="G11" s="629">
        <f>1/E11</f>
        <v>0.31655900721005659</v>
      </c>
      <c r="H11" s="630">
        <f>G11/$G$31*100</f>
        <v>3.3058271878091938</v>
      </c>
      <c r="I11" s="631">
        <f>H11*0.3</f>
        <v>0.99174815634275815</v>
      </c>
      <c r="J11" s="632">
        <f>F11+I11</f>
        <v>3.2030262563385246</v>
      </c>
      <c r="K11" s="633">
        <f>$K$31*J11/100</f>
        <v>653071.90750904311</v>
      </c>
      <c r="L11" s="633">
        <f>D11+K11</f>
        <v>3544670.4550090432</v>
      </c>
      <c r="N11" s="125"/>
    </row>
    <row r="12" spans="2:14" x14ac:dyDescent="0.25">
      <c r="B12" s="624" t="s">
        <v>47</v>
      </c>
      <c r="C12" s="625">
        <v>1.63</v>
      </c>
      <c r="D12" s="626">
        <v>1237088.0925</v>
      </c>
      <c r="E12" s="627">
        <f>FGP!E9</f>
        <v>1.3507472164599297</v>
      </c>
      <c r="F12" s="628">
        <f t="shared" ref="F12:F30" si="0">E12*0.7</f>
        <v>0.94552305152195071</v>
      </c>
      <c r="G12" s="629">
        <f t="shared" ref="G12:G30" si="1">1/E12</f>
        <v>0.74033097223092836</v>
      </c>
      <c r="H12" s="628">
        <f t="shared" ref="H12:H30" si="2">G12/$G$31*100</f>
        <v>7.7312797937675173</v>
      </c>
      <c r="I12" s="631">
        <f t="shared" ref="I12:I30" si="3">H12*0.3</f>
        <v>2.319383938130255</v>
      </c>
      <c r="J12" s="632">
        <f>F12+I12</f>
        <v>3.2649069896522058</v>
      </c>
      <c r="K12" s="633">
        <f t="shared" ref="K12:K30" si="4">$K$31*J12/100</f>
        <v>665688.90322153573</v>
      </c>
      <c r="L12" s="633">
        <f t="shared" ref="L12:L30" si="5">D12+K12</f>
        <v>1902776.9957215358</v>
      </c>
    </row>
    <row r="13" spans="2:14" x14ac:dyDescent="0.25">
      <c r="B13" s="624" t="s">
        <v>48</v>
      </c>
      <c r="C13" s="625">
        <v>1.32</v>
      </c>
      <c r="D13" s="626">
        <v>1001813.6699999999</v>
      </c>
      <c r="E13" s="627">
        <f>FGP!E10</f>
        <v>1.0034291520257399</v>
      </c>
      <c r="F13" s="628">
        <f t="shared" si="0"/>
        <v>0.70240040641801793</v>
      </c>
      <c r="G13" s="629">
        <f t="shared" si="1"/>
        <v>0.99658256687199387</v>
      </c>
      <c r="H13" s="628">
        <f t="shared" si="2"/>
        <v>10.407316391019595</v>
      </c>
      <c r="I13" s="631">
        <f t="shared" si="3"/>
        <v>3.1221949173058783</v>
      </c>
      <c r="J13" s="632">
        <f t="shared" ref="J13:J31" si="6">F13+I13</f>
        <v>3.8245953237238961</v>
      </c>
      <c r="K13" s="633">
        <f t="shared" si="4"/>
        <v>779804.96056556469</v>
      </c>
      <c r="L13" s="633">
        <f t="shared" si="5"/>
        <v>1781618.6305655646</v>
      </c>
    </row>
    <row r="14" spans="2:14" x14ac:dyDescent="0.25">
      <c r="B14" s="624" t="s">
        <v>49</v>
      </c>
      <c r="C14" s="625">
        <v>7.64</v>
      </c>
      <c r="D14" s="626">
        <v>5798376.0899999999</v>
      </c>
      <c r="E14" s="627">
        <f>FGP!E11</f>
        <v>12.721730663392744</v>
      </c>
      <c r="F14" s="628">
        <f t="shared" si="0"/>
        <v>8.9052114643749203</v>
      </c>
      <c r="G14" s="629">
        <f t="shared" si="1"/>
        <v>7.8605657237936763E-2</v>
      </c>
      <c r="H14" s="628">
        <f t="shared" si="2"/>
        <v>0.82087924492494635</v>
      </c>
      <c r="I14" s="631">
        <f t="shared" si="3"/>
        <v>0.2462637734774839</v>
      </c>
      <c r="J14" s="632">
        <f t="shared" si="6"/>
        <v>9.151475237852404</v>
      </c>
      <c r="K14" s="633">
        <f t="shared" si="4"/>
        <v>1865913.9550538815</v>
      </c>
      <c r="L14" s="633">
        <f t="shared" si="5"/>
        <v>7664290.0450538816</v>
      </c>
    </row>
    <row r="15" spans="2:14" x14ac:dyDescent="0.25">
      <c r="B15" s="624" t="s">
        <v>50</v>
      </c>
      <c r="C15" s="625">
        <v>6.2</v>
      </c>
      <c r="D15" s="626">
        <v>4705488.4499999993</v>
      </c>
      <c r="E15" s="627">
        <f>FGP!E12</f>
        <v>6.3943101477498834</v>
      </c>
      <c r="F15" s="628">
        <f t="shared" si="0"/>
        <v>4.4760171034249181</v>
      </c>
      <c r="G15" s="629">
        <f t="shared" si="1"/>
        <v>0.15638903601694915</v>
      </c>
      <c r="H15" s="628">
        <f t="shared" si="2"/>
        <v>1.6331714320706199</v>
      </c>
      <c r="I15" s="631">
        <f t="shared" si="3"/>
        <v>0.48995142962118593</v>
      </c>
      <c r="J15" s="632">
        <f t="shared" si="6"/>
        <v>4.9659685330461043</v>
      </c>
      <c r="K15" s="633">
        <f t="shared" si="4"/>
        <v>1012521.9973106398</v>
      </c>
      <c r="L15" s="633">
        <f t="shared" si="5"/>
        <v>5718010.4473106395</v>
      </c>
    </row>
    <row r="16" spans="2:14" x14ac:dyDescent="0.25">
      <c r="B16" s="624" t="s">
        <v>51</v>
      </c>
      <c r="C16" s="625">
        <v>7.23</v>
      </c>
      <c r="D16" s="626">
        <v>5487206.6924999999</v>
      </c>
      <c r="E16" s="627">
        <f>FGP!E13</f>
        <v>3.5996782524025233</v>
      </c>
      <c r="F16" s="628">
        <f t="shared" si="0"/>
        <v>2.519774776681766</v>
      </c>
      <c r="G16" s="629">
        <f t="shared" si="1"/>
        <v>0.2778026062003105</v>
      </c>
      <c r="H16" s="628">
        <f t="shared" si="2"/>
        <v>2.9010939114167855</v>
      </c>
      <c r="I16" s="631">
        <f t="shared" si="3"/>
        <v>0.87032817342503566</v>
      </c>
      <c r="J16" s="632">
        <f>F16+I16</f>
        <v>3.3901029501068018</v>
      </c>
      <c r="K16" s="633">
        <f t="shared" si="4"/>
        <v>691215.37667604117</v>
      </c>
      <c r="L16" s="633">
        <f t="shared" si="5"/>
        <v>6178422.0691760406</v>
      </c>
    </row>
    <row r="17" spans="2:12" x14ac:dyDescent="0.25">
      <c r="B17" s="624" t="s">
        <v>52</v>
      </c>
      <c r="C17" s="625">
        <v>2</v>
      </c>
      <c r="D17" s="626">
        <v>1517899.5</v>
      </c>
      <c r="E17" s="627">
        <f>FGP!E14</f>
        <v>1.0680326827822699</v>
      </c>
      <c r="F17" s="628">
        <f t="shared" si="0"/>
        <v>0.74762287794758886</v>
      </c>
      <c r="G17" s="629">
        <f t="shared" si="1"/>
        <v>0.93630093546852711</v>
      </c>
      <c r="H17" s="628">
        <f t="shared" si="2"/>
        <v>9.7777950332942147</v>
      </c>
      <c r="I17" s="631">
        <f t="shared" si="3"/>
        <v>2.9333385099882645</v>
      </c>
      <c r="J17" s="632">
        <f>F17+I17</f>
        <v>3.6809613879358531</v>
      </c>
      <c r="K17" s="633">
        <f t="shared" si="4"/>
        <v>750519.12869250402</v>
      </c>
      <c r="L17" s="633">
        <f t="shared" si="5"/>
        <v>2268418.628692504</v>
      </c>
    </row>
    <row r="18" spans="2:12" x14ac:dyDescent="0.25">
      <c r="B18" s="624" t="s">
        <v>53</v>
      </c>
      <c r="C18" s="625">
        <v>2.67</v>
      </c>
      <c r="D18" s="626">
        <v>2026395.8325</v>
      </c>
      <c r="E18" s="627">
        <f>FGP!E15</f>
        <v>2.4906650861521529</v>
      </c>
      <c r="F18" s="628">
        <f t="shared" si="0"/>
        <v>1.743465560306507</v>
      </c>
      <c r="G18" s="629">
        <f t="shared" si="1"/>
        <v>0.40149918411748708</v>
      </c>
      <c r="H18" s="628">
        <f t="shared" si="2"/>
        <v>4.1928578511685206</v>
      </c>
      <c r="I18" s="631">
        <f t="shared" si="3"/>
        <v>1.2578573553505561</v>
      </c>
      <c r="J18" s="632">
        <f t="shared" si="6"/>
        <v>3.0013229156570631</v>
      </c>
      <c r="K18" s="633">
        <f t="shared" si="4"/>
        <v>611946.17986659496</v>
      </c>
      <c r="L18" s="633">
        <f t="shared" si="5"/>
        <v>2638342.0123665947</v>
      </c>
    </row>
    <row r="19" spans="2:12" x14ac:dyDescent="0.25">
      <c r="B19" s="624" t="s">
        <v>54</v>
      </c>
      <c r="C19" s="625">
        <v>2.2999999999999998</v>
      </c>
      <c r="D19" s="626">
        <v>1745584.425</v>
      </c>
      <c r="E19" s="627">
        <f>FGP!E16</f>
        <v>1.5731764108208799</v>
      </c>
      <c r="F19" s="628">
        <f t="shared" si="0"/>
        <v>1.1012234875746159</v>
      </c>
      <c r="G19" s="629">
        <f t="shared" si="1"/>
        <v>0.63565662002152845</v>
      </c>
      <c r="H19" s="628">
        <f t="shared" si="2"/>
        <v>6.638165045746673</v>
      </c>
      <c r="I19" s="631">
        <f t="shared" si="3"/>
        <v>1.9914495137240018</v>
      </c>
      <c r="J19" s="632">
        <f t="shared" si="6"/>
        <v>3.0926730012986177</v>
      </c>
      <c r="K19" s="633">
        <f t="shared" si="4"/>
        <v>630571.74516222312</v>
      </c>
      <c r="L19" s="633">
        <f t="shared" si="5"/>
        <v>2376156.1701622233</v>
      </c>
    </row>
    <row r="20" spans="2:12" x14ac:dyDescent="0.25">
      <c r="B20" s="624" t="s">
        <v>55</v>
      </c>
      <c r="C20" s="625">
        <v>2.31</v>
      </c>
      <c r="D20" s="626">
        <v>1753173.9224999999</v>
      </c>
      <c r="E20" s="627">
        <f>FGP!E17</f>
        <v>1.212057067863342</v>
      </c>
      <c r="F20" s="628">
        <f t="shared" si="0"/>
        <v>0.84843994750433938</v>
      </c>
      <c r="G20" s="629">
        <f t="shared" si="1"/>
        <v>0.82504366049598321</v>
      </c>
      <c r="H20" s="628">
        <f t="shared" si="2"/>
        <v>8.6159347921741674</v>
      </c>
      <c r="I20" s="631">
        <f t="shared" si="3"/>
        <v>2.5847804376522503</v>
      </c>
      <c r="J20" s="632">
        <f>F20+I20</f>
        <v>3.4332203851565897</v>
      </c>
      <c r="K20" s="633">
        <f t="shared" si="4"/>
        <v>700006.68317848979</v>
      </c>
      <c r="L20" s="633">
        <f t="shared" si="5"/>
        <v>2453180.6056784894</v>
      </c>
    </row>
    <row r="21" spans="2:12" x14ac:dyDescent="0.25">
      <c r="B21" s="624" t="s">
        <v>56</v>
      </c>
      <c r="C21" s="625">
        <v>5.05</v>
      </c>
      <c r="D21" s="626">
        <v>3832696.2374999993</v>
      </c>
      <c r="E21" s="627">
        <f>FGP!E18</f>
        <v>2.8704119215951907</v>
      </c>
      <c r="F21" s="628">
        <f t="shared" si="0"/>
        <v>2.0092883451166332</v>
      </c>
      <c r="G21" s="629">
        <f t="shared" si="1"/>
        <v>0.34838205362673669</v>
      </c>
      <c r="H21" s="628">
        <f t="shared" si="2"/>
        <v>3.6381554098691251</v>
      </c>
      <c r="I21" s="631">
        <f t="shared" si="3"/>
        <v>1.0914466229607376</v>
      </c>
      <c r="J21" s="632">
        <f t="shared" si="6"/>
        <v>3.1007349680773708</v>
      </c>
      <c r="K21" s="633">
        <f t="shared" si="4"/>
        <v>632215.51689592516</v>
      </c>
      <c r="L21" s="633">
        <f t="shared" si="5"/>
        <v>4464911.7543959245</v>
      </c>
    </row>
    <row r="22" spans="2:12" x14ac:dyDescent="0.25">
      <c r="B22" s="624" t="s">
        <v>57</v>
      </c>
      <c r="C22" s="625">
        <v>2.58</v>
      </c>
      <c r="D22" s="626">
        <v>1958090.3549999997</v>
      </c>
      <c r="E22" s="627">
        <f>FGP!E19</f>
        <v>2.0950002116760511</v>
      </c>
      <c r="F22" s="628">
        <f t="shared" si="0"/>
        <v>1.4665001481732356</v>
      </c>
      <c r="G22" s="629">
        <f t="shared" si="1"/>
        <v>0.47732692074526123</v>
      </c>
      <c r="H22" s="628">
        <f t="shared" si="2"/>
        <v>4.9847272582133613</v>
      </c>
      <c r="I22" s="631">
        <f t="shared" si="3"/>
        <v>1.4954181774640083</v>
      </c>
      <c r="J22" s="632">
        <f t="shared" si="6"/>
        <v>2.9619183256372441</v>
      </c>
      <c r="K22" s="633">
        <f t="shared" si="4"/>
        <v>603911.89331713901</v>
      </c>
      <c r="L22" s="633">
        <f t="shared" si="5"/>
        <v>2562002.2483171388</v>
      </c>
    </row>
    <row r="23" spans="2:12" x14ac:dyDescent="0.25">
      <c r="B23" s="624" t="s">
        <v>58</v>
      </c>
      <c r="C23" s="625">
        <v>3.39</v>
      </c>
      <c r="D23" s="626">
        <v>2572839.6525000003</v>
      </c>
      <c r="E23" s="627">
        <f>FGP!E20</f>
        <v>3.7237204182718768</v>
      </c>
      <c r="F23" s="628">
        <f t="shared" si="0"/>
        <v>2.6066042927903137</v>
      </c>
      <c r="G23" s="629">
        <f t="shared" si="1"/>
        <v>0.26854862548034286</v>
      </c>
      <c r="H23" s="628">
        <f t="shared" si="2"/>
        <v>2.8044545476243932</v>
      </c>
      <c r="I23" s="631">
        <f t="shared" si="3"/>
        <v>0.84133636428731795</v>
      </c>
      <c r="J23" s="632">
        <f t="shared" si="6"/>
        <v>3.4479406570776314</v>
      </c>
      <c r="K23" s="633">
        <f t="shared" si="4"/>
        <v>703008.03105801542</v>
      </c>
      <c r="L23" s="633">
        <f t="shared" si="5"/>
        <v>3275847.6835580156</v>
      </c>
    </row>
    <row r="24" spans="2:12" x14ac:dyDescent="0.25">
      <c r="B24" s="624" t="s">
        <v>59</v>
      </c>
      <c r="C24" s="625">
        <v>0.82</v>
      </c>
      <c r="D24" s="626">
        <v>622338.79499999993</v>
      </c>
      <c r="E24" s="627">
        <f>FGP!E21</f>
        <v>0.63494348249439059</v>
      </c>
      <c r="F24" s="628">
        <f t="shared" si="0"/>
        <v>0.44446043774607336</v>
      </c>
      <c r="G24" s="629">
        <f t="shared" si="1"/>
        <v>1.5749433257767702</v>
      </c>
      <c r="H24" s="628">
        <f t="shared" si="2"/>
        <v>16.447140492062037</v>
      </c>
      <c r="I24" s="631">
        <f t="shared" si="3"/>
        <v>4.9341421476186111</v>
      </c>
      <c r="J24" s="632">
        <f>F24+I24</f>
        <v>5.3786025853646846</v>
      </c>
      <c r="K24" s="633">
        <f t="shared" si="4"/>
        <v>1096654.8410916119</v>
      </c>
      <c r="L24" s="633">
        <f t="shared" si="5"/>
        <v>1718993.6360916118</v>
      </c>
    </row>
    <row r="25" spans="2:12" x14ac:dyDescent="0.25">
      <c r="B25" s="624" t="s">
        <v>60</v>
      </c>
      <c r="C25" s="625">
        <v>2.27</v>
      </c>
      <c r="D25" s="626">
        <v>1722815.9325000003</v>
      </c>
      <c r="E25" s="627">
        <f>FGP!E22</f>
        <v>1.9878074594640365</v>
      </c>
      <c r="F25" s="628">
        <f t="shared" si="0"/>
        <v>1.3914652216248256</v>
      </c>
      <c r="G25" s="629">
        <f t="shared" si="1"/>
        <v>0.50306683136686969</v>
      </c>
      <c r="H25" s="628">
        <f t="shared" si="2"/>
        <v>5.2535292648112284</v>
      </c>
      <c r="I25" s="631">
        <f t="shared" si="3"/>
        <v>1.5760587794433685</v>
      </c>
      <c r="J25" s="632">
        <f t="shared" si="6"/>
        <v>2.967524001068194</v>
      </c>
      <c r="K25" s="633">
        <f t="shared" si="4"/>
        <v>605054.84652875329</v>
      </c>
      <c r="L25" s="633">
        <f t="shared" si="5"/>
        <v>2327870.7790287538</v>
      </c>
    </row>
    <row r="26" spans="2:12" x14ac:dyDescent="0.25">
      <c r="B26" s="624" t="s">
        <v>61</v>
      </c>
      <c r="C26" s="625">
        <v>8.59</v>
      </c>
      <c r="D26" s="626">
        <v>6519378.3525</v>
      </c>
      <c r="E26" s="627">
        <f>FGP!E23</f>
        <v>8.2824605224164927</v>
      </c>
      <c r="F26" s="628">
        <f t="shared" si="0"/>
        <v>5.7977223656915449</v>
      </c>
      <c r="G26" s="629">
        <f t="shared" si="1"/>
        <v>0.12073706808423637</v>
      </c>
      <c r="H26" s="628">
        <f t="shared" si="2"/>
        <v>1.2608577647717567</v>
      </c>
      <c r="I26" s="631">
        <f t="shared" si="3"/>
        <v>0.37825732943152701</v>
      </c>
      <c r="J26" s="632">
        <f t="shared" si="6"/>
        <v>6.1759796951230719</v>
      </c>
      <c r="K26" s="633">
        <f t="shared" si="4"/>
        <v>1259233.7737630028</v>
      </c>
      <c r="L26" s="633">
        <f t="shared" si="5"/>
        <v>7778612.1262630029</v>
      </c>
    </row>
    <row r="27" spans="2:12" x14ac:dyDescent="0.25">
      <c r="B27" s="624" t="s">
        <v>62</v>
      </c>
      <c r="C27" s="625">
        <v>4.55</v>
      </c>
      <c r="D27" s="626">
        <v>3453221.3624999993</v>
      </c>
      <c r="E27" s="627">
        <f>FGP!E24</f>
        <v>3.3629397569958934</v>
      </c>
      <c r="F27" s="628">
        <f t="shared" si="0"/>
        <v>2.3540578298971253</v>
      </c>
      <c r="G27" s="629">
        <f t="shared" si="1"/>
        <v>0.29735888010473843</v>
      </c>
      <c r="H27" s="628">
        <f t="shared" si="2"/>
        <v>3.1053201709545601</v>
      </c>
      <c r="I27" s="631">
        <f t="shared" si="3"/>
        <v>0.93159605128636802</v>
      </c>
      <c r="J27" s="632">
        <f t="shared" si="6"/>
        <v>3.2856538811834932</v>
      </c>
      <c r="K27" s="633">
        <f t="shared" si="4"/>
        <v>669919.03152610641</v>
      </c>
      <c r="L27" s="633">
        <f t="shared" si="5"/>
        <v>4123140.3940261058</v>
      </c>
    </row>
    <row r="28" spans="2:12" x14ac:dyDescent="0.25">
      <c r="B28" s="624" t="s">
        <v>63</v>
      </c>
      <c r="C28" s="625">
        <v>29.02</v>
      </c>
      <c r="D28" s="626">
        <v>22024721.744999997</v>
      </c>
      <c r="E28" s="627">
        <f>FGP!E25</f>
        <v>35.020363236103471</v>
      </c>
      <c r="F28" s="628">
        <f t="shared" si="0"/>
        <v>24.514254265272427</v>
      </c>
      <c r="G28" s="629">
        <f t="shared" si="1"/>
        <v>2.8554815187327127E-2</v>
      </c>
      <c r="H28" s="628">
        <f t="shared" si="2"/>
        <v>0.29819806809823118</v>
      </c>
      <c r="I28" s="631">
        <f t="shared" si="3"/>
        <v>8.9459420429469347E-2</v>
      </c>
      <c r="J28" s="632">
        <f t="shared" si="6"/>
        <v>24.603713685701898</v>
      </c>
      <c r="K28" s="633">
        <f t="shared" si="4"/>
        <v>5016504.0629093982</v>
      </c>
      <c r="L28" s="633">
        <f t="shared" si="5"/>
        <v>27041225.807909396</v>
      </c>
    </row>
    <row r="29" spans="2:12" x14ac:dyDescent="0.25">
      <c r="B29" s="624" t="s">
        <v>64</v>
      </c>
      <c r="C29" s="625">
        <v>2.73</v>
      </c>
      <c r="D29" s="626">
        <v>2071932.8175000001</v>
      </c>
      <c r="E29" s="627">
        <f>FGP!E26</f>
        <v>2.5879513991786967</v>
      </c>
      <c r="F29" s="628">
        <f t="shared" si="0"/>
        <v>1.8115659794250876</v>
      </c>
      <c r="G29" s="629">
        <f t="shared" si="1"/>
        <v>0.38640601995746771</v>
      </c>
      <c r="H29" s="628">
        <f t="shared" si="2"/>
        <v>4.0352398674946253</v>
      </c>
      <c r="I29" s="631">
        <f t="shared" si="3"/>
        <v>1.2105719602483875</v>
      </c>
      <c r="J29" s="632">
        <f t="shared" si="6"/>
        <v>3.0221379396734749</v>
      </c>
      <c r="K29" s="633">
        <f t="shared" si="4"/>
        <v>616190.19984999159</v>
      </c>
      <c r="L29" s="633">
        <f t="shared" si="5"/>
        <v>2688123.0173499919</v>
      </c>
    </row>
    <row r="30" spans="2:12" ht="15.75" thickBot="1" x14ac:dyDescent="0.3">
      <c r="B30" s="624" t="s">
        <v>65</v>
      </c>
      <c r="C30" s="625">
        <v>3.89</v>
      </c>
      <c r="D30" s="634">
        <v>2952314.5274999999</v>
      </c>
      <c r="E30" s="627">
        <f>FGP!E27</f>
        <v>4.8616061978747727</v>
      </c>
      <c r="F30" s="628">
        <f t="shared" si="0"/>
        <v>3.4031243385123409</v>
      </c>
      <c r="G30" s="629">
        <f t="shared" si="1"/>
        <v>0.20569333658434635</v>
      </c>
      <c r="H30" s="628">
        <f t="shared" si="2"/>
        <v>2.1480564727084399</v>
      </c>
      <c r="I30" s="631">
        <f t="shared" si="3"/>
        <v>0.64441694181253195</v>
      </c>
      <c r="J30" s="632">
        <f t="shared" si="6"/>
        <v>4.0475412803248725</v>
      </c>
      <c r="K30" s="633">
        <f t="shared" si="4"/>
        <v>825261.89082353492</v>
      </c>
      <c r="L30" s="633">
        <f t="shared" si="5"/>
        <v>3777576.4183235345</v>
      </c>
    </row>
    <row r="31" spans="2:12" ht="15.75" thickBot="1" x14ac:dyDescent="0.3">
      <c r="B31" s="635" t="s">
        <v>66</v>
      </c>
      <c r="C31" s="636">
        <f t="shared" ref="C31:I31" si="7">SUM(C11:C30)</f>
        <v>100</v>
      </c>
      <c r="D31" s="690">
        <f t="shared" si="7"/>
        <v>75894975</v>
      </c>
      <c r="E31" s="637">
        <f t="shared" si="7"/>
        <v>100.00000000000001</v>
      </c>
      <c r="F31" s="638">
        <f t="shared" si="7"/>
        <v>70</v>
      </c>
      <c r="G31" s="639">
        <f t="shared" si="7"/>
        <v>9.5757881227857986</v>
      </c>
      <c r="H31" s="638">
        <f t="shared" si="7"/>
        <v>100</v>
      </c>
      <c r="I31" s="640">
        <f t="shared" si="7"/>
        <v>30</v>
      </c>
      <c r="J31" s="641">
        <f t="shared" si="6"/>
        <v>100</v>
      </c>
      <c r="K31" s="642">
        <f>Datos!K41</f>
        <v>20389214.924999997</v>
      </c>
      <c r="L31" s="642">
        <f>SUM(L11:L30)</f>
        <v>96284189.924999982</v>
      </c>
    </row>
    <row r="32" spans="2:12" x14ac:dyDescent="0.25">
      <c r="B32" s="643" t="s">
        <v>363</v>
      </c>
      <c r="D32" s="644"/>
      <c r="E32" s="645"/>
      <c r="F32" s="6"/>
      <c r="G32" s="6"/>
      <c r="H32" s="6"/>
      <c r="I32" s="6"/>
      <c r="J32" s="96"/>
      <c r="K32" s="6"/>
    </row>
    <row r="33" spans="3:21" ht="6.75" customHeight="1" x14ac:dyDescent="0.25"/>
    <row r="34" spans="3:21" x14ac:dyDescent="0.25">
      <c r="C34" t="s">
        <v>364</v>
      </c>
      <c r="E34"/>
      <c r="G34" s="12"/>
      <c r="H34" s="12"/>
      <c r="J34" s="151"/>
      <c r="K34" s="151"/>
    </row>
    <row r="35" spans="3:21" ht="31.5" customHeight="1" x14ac:dyDescent="0.25">
      <c r="C35" s="890" t="s">
        <v>374</v>
      </c>
      <c r="D35" s="890"/>
      <c r="E35" s="890"/>
      <c r="F35" s="890"/>
      <c r="G35" s="890"/>
      <c r="H35" s="890"/>
      <c r="I35" s="890"/>
      <c r="J35" s="890"/>
      <c r="K35" s="890"/>
    </row>
    <row r="36" spans="3:21" x14ac:dyDescent="0.25">
      <c r="C36" s="891" t="s">
        <v>365</v>
      </c>
      <c r="D36" s="891"/>
      <c r="E36" s="891"/>
      <c r="F36" s="891"/>
      <c r="G36" s="891"/>
      <c r="H36" s="891"/>
      <c r="I36" s="891"/>
      <c r="J36" s="891"/>
      <c r="K36" s="891"/>
    </row>
    <row r="37" spans="3:21" ht="40.5" customHeight="1" x14ac:dyDescent="0.25">
      <c r="C37" s="892" t="s">
        <v>366</v>
      </c>
      <c r="D37" s="892"/>
      <c r="E37" s="892"/>
      <c r="F37" s="892"/>
      <c r="G37" s="892"/>
      <c r="H37" s="892"/>
      <c r="I37" s="892"/>
      <c r="J37" s="892"/>
      <c r="K37" s="892"/>
    </row>
    <row r="38" spans="3:21" ht="26.25" customHeight="1" x14ac:dyDescent="0.25">
      <c r="C38" s="892" t="s">
        <v>373</v>
      </c>
      <c r="D38" s="892"/>
      <c r="E38" s="892"/>
      <c r="F38" s="892"/>
      <c r="G38" s="892"/>
      <c r="H38" s="892"/>
      <c r="I38" s="892"/>
      <c r="J38" s="892"/>
      <c r="K38" s="892"/>
      <c r="L38" s="588"/>
      <c r="M38" s="588"/>
      <c r="N38" s="588"/>
      <c r="O38" s="588"/>
      <c r="P38" s="588"/>
      <c r="Q38" s="588"/>
      <c r="R38" s="588"/>
      <c r="S38" s="588"/>
      <c r="T38" s="588"/>
      <c r="U38" s="588"/>
    </row>
  </sheetData>
  <mergeCells count="19">
    <mergeCell ref="C35:K35"/>
    <mergeCell ref="C36:K36"/>
    <mergeCell ref="C38:K38"/>
    <mergeCell ref="B4:L4"/>
    <mergeCell ref="B6:B10"/>
    <mergeCell ref="C6:C9"/>
    <mergeCell ref="D6:D9"/>
    <mergeCell ref="E6:F6"/>
    <mergeCell ref="G6:I6"/>
    <mergeCell ref="J6:J9"/>
    <mergeCell ref="K6:K8"/>
    <mergeCell ref="E7:E9"/>
    <mergeCell ref="C37:K37"/>
    <mergeCell ref="F7:F8"/>
    <mergeCell ref="G7:G9"/>
    <mergeCell ref="H7:H9"/>
    <mergeCell ref="I7:I9"/>
    <mergeCell ref="B3:L3"/>
    <mergeCell ref="B5:L5"/>
  </mergeCells>
  <pageMargins left="0.70866141732283472" right="0.70866141732283472" top="0.74803149606299213" bottom="0.74803149606299213" header="0.31496062992125984" footer="0.31496062992125984"/>
  <pageSetup paperSize="5"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T32"/>
  <sheetViews>
    <sheetView workbookViewId="0">
      <selection activeCell="B2" sqref="B2:G3"/>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2" customWidth="1"/>
    <col min="6" max="6" width="14.28515625" style="151" customWidth="1"/>
    <col min="7" max="7" width="15.42578125" style="151" customWidth="1"/>
    <col min="8" max="8" width="18.42578125" customWidth="1"/>
    <col min="9" max="9" width="19" customWidth="1"/>
    <col min="10" max="10" width="12.85546875" customWidth="1"/>
  </cols>
  <sheetData>
    <row r="2" spans="2:10" ht="15" customHeight="1" x14ac:dyDescent="0.25">
      <c r="B2" s="908" t="s">
        <v>376</v>
      </c>
      <c r="C2" s="908"/>
      <c r="D2" s="908"/>
      <c r="E2" s="908"/>
      <c r="F2" s="908"/>
      <c r="G2" s="908"/>
    </row>
    <row r="3" spans="2:10" ht="15" customHeight="1" x14ac:dyDescent="0.25">
      <c r="B3" s="908"/>
      <c r="C3" s="908"/>
      <c r="D3" s="908"/>
      <c r="E3" s="908"/>
      <c r="F3" s="908"/>
      <c r="G3" s="908"/>
    </row>
    <row r="4" spans="2:10" x14ac:dyDescent="0.25">
      <c r="B4" s="913" t="s">
        <v>281</v>
      </c>
      <c r="C4" s="913"/>
      <c r="D4" s="913"/>
      <c r="E4" s="913"/>
      <c r="F4" s="913"/>
      <c r="G4" s="913"/>
    </row>
    <row r="5" spans="2:10" ht="15.75" thickBot="1" x14ac:dyDescent="0.3"/>
    <row r="6" spans="2:10" ht="30" customHeight="1" x14ac:dyDescent="0.25">
      <c r="B6" s="909" t="s">
        <v>85</v>
      </c>
      <c r="C6" s="911" t="s">
        <v>247</v>
      </c>
      <c r="D6" s="911" t="s">
        <v>202</v>
      </c>
      <c r="E6" s="914" t="s">
        <v>315</v>
      </c>
      <c r="F6" s="916" t="s">
        <v>314</v>
      </c>
      <c r="G6" s="918" t="s">
        <v>248</v>
      </c>
    </row>
    <row r="7" spans="2:10" x14ac:dyDescent="0.25">
      <c r="B7" s="910"/>
      <c r="C7" s="912"/>
      <c r="D7" s="912"/>
      <c r="E7" s="915"/>
      <c r="F7" s="917"/>
      <c r="G7" s="919"/>
    </row>
    <row r="8" spans="2:10" x14ac:dyDescent="0.25">
      <c r="B8" s="910"/>
      <c r="C8" s="912"/>
      <c r="D8" s="912"/>
      <c r="E8" s="915"/>
      <c r="F8" s="917"/>
      <c r="G8" s="919"/>
    </row>
    <row r="9" spans="2:10" ht="15.75" thickBot="1" x14ac:dyDescent="0.3">
      <c r="B9" s="910"/>
      <c r="C9" s="142" t="s">
        <v>72</v>
      </c>
      <c r="D9" s="367" t="s">
        <v>99</v>
      </c>
      <c r="E9" s="604" t="s">
        <v>73</v>
      </c>
      <c r="F9" s="591" t="s">
        <v>100</v>
      </c>
      <c r="G9" s="592" t="s">
        <v>307</v>
      </c>
    </row>
    <row r="10" spans="2:10" x14ac:dyDescent="0.25">
      <c r="B10" s="413" t="s">
        <v>46</v>
      </c>
      <c r="C10" s="414">
        <v>3.94</v>
      </c>
      <c r="D10" s="415">
        <f>$D$30*C10/100</f>
        <v>812034</v>
      </c>
      <c r="E10" s="416">
        <v>0.05</v>
      </c>
      <c r="F10" s="417">
        <f>$F$30*E10</f>
        <v>778179.36375000002</v>
      </c>
      <c r="G10" s="496">
        <f t="shared" ref="G10:G29" si="0">D10+F10</f>
        <v>1590213.36375</v>
      </c>
      <c r="H10" s="153"/>
      <c r="I10" s="219"/>
      <c r="J10" s="126"/>
    </row>
    <row r="11" spans="2:10" x14ac:dyDescent="0.25">
      <c r="B11" s="418" t="s">
        <v>47</v>
      </c>
      <c r="C11" s="419">
        <v>5.78</v>
      </c>
      <c r="D11" s="415">
        <f t="shared" ref="D11:D29" si="1">$D$30*C11/100</f>
        <v>1191258</v>
      </c>
      <c r="E11" s="420">
        <v>0.05</v>
      </c>
      <c r="F11" s="417">
        <f t="shared" ref="F11:F28" si="2">$F$30*E11</f>
        <v>778179.36375000002</v>
      </c>
      <c r="G11" s="497">
        <f t="shared" si="0"/>
        <v>1969437.36375</v>
      </c>
      <c r="H11" s="153"/>
      <c r="I11" s="219"/>
      <c r="J11" s="126"/>
    </row>
    <row r="12" spans="2:10" x14ac:dyDescent="0.25">
      <c r="B12" s="418" t="s">
        <v>48</v>
      </c>
      <c r="C12" s="419">
        <v>6.12</v>
      </c>
      <c r="D12" s="415">
        <f t="shared" si="1"/>
        <v>1261332</v>
      </c>
      <c r="E12" s="420">
        <v>0.05</v>
      </c>
      <c r="F12" s="417">
        <f t="shared" si="2"/>
        <v>778179.36375000002</v>
      </c>
      <c r="G12" s="497">
        <f t="shared" si="0"/>
        <v>2039511.36375</v>
      </c>
      <c r="H12" s="153"/>
      <c r="I12" s="219"/>
      <c r="J12" s="126"/>
    </row>
    <row r="13" spans="2:10" x14ac:dyDescent="0.25">
      <c r="B13" s="418" t="s">
        <v>49</v>
      </c>
      <c r="C13" s="419">
        <v>5.08</v>
      </c>
      <c r="D13" s="415">
        <f t="shared" si="1"/>
        <v>1046988</v>
      </c>
      <c r="E13" s="420">
        <v>0.05</v>
      </c>
      <c r="F13" s="417">
        <f t="shared" si="2"/>
        <v>778179.36375000002</v>
      </c>
      <c r="G13" s="497">
        <f t="shared" si="0"/>
        <v>1825167.36375</v>
      </c>
      <c r="H13" s="153"/>
      <c r="I13" s="219"/>
      <c r="J13" s="126"/>
    </row>
    <row r="14" spans="2:10" x14ac:dyDescent="0.25">
      <c r="B14" s="418" t="s">
        <v>50</v>
      </c>
      <c r="C14" s="419">
        <v>3.07</v>
      </c>
      <c r="D14" s="415">
        <f t="shared" si="1"/>
        <v>632727</v>
      </c>
      <c r="E14" s="420">
        <v>0.05</v>
      </c>
      <c r="F14" s="417">
        <f t="shared" si="2"/>
        <v>778179.36375000002</v>
      </c>
      <c r="G14" s="497">
        <f t="shared" si="0"/>
        <v>1410906.36375</v>
      </c>
      <c r="H14" s="153"/>
      <c r="I14" s="219"/>
      <c r="J14" s="126"/>
    </row>
    <row r="15" spans="2:10" x14ac:dyDescent="0.25">
      <c r="B15" s="418" t="s">
        <v>51</v>
      </c>
      <c r="C15" s="419">
        <v>9.51</v>
      </c>
      <c r="D15" s="415">
        <f t="shared" si="1"/>
        <v>1960011</v>
      </c>
      <c r="E15" s="420">
        <v>0.05</v>
      </c>
      <c r="F15" s="417">
        <f t="shared" si="2"/>
        <v>778179.36375000002</v>
      </c>
      <c r="G15" s="497">
        <f t="shared" si="0"/>
        <v>2738190.36375</v>
      </c>
      <c r="H15" s="153"/>
      <c r="I15" s="219"/>
      <c r="J15" s="126"/>
    </row>
    <row r="16" spans="2:10" x14ac:dyDescent="0.25">
      <c r="B16" s="418" t="s">
        <v>52</v>
      </c>
      <c r="C16" s="419">
        <v>9.33</v>
      </c>
      <c r="D16" s="415">
        <f t="shared" si="1"/>
        <v>1922913</v>
      </c>
      <c r="E16" s="420">
        <v>0.05</v>
      </c>
      <c r="F16" s="417">
        <f t="shared" si="2"/>
        <v>778179.36375000002</v>
      </c>
      <c r="G16" s="497">
        <f t="shared" si="0"/>
        <v>2701092.36375</v>
      </c>
      <c r="H16" s="153"/>
      <c r="I16" s="219"/>
      <c r="J16" s="126"/>
    </row>
    <row r="17" spans="2:20" x14ac:dyDescent="0.25">
      <c r="B17" s="418" t="s">
        <v>53</v>
      </c>
      <c r="C17" s="419">
        <v>4.5199999999999996</v>
      </c>
      <c r="D17" s="415">
        <f t="shared" si="1"/>
        <v>931571.99999999988</v>
      </c>
      <c r="E17" s="420">
        <v>0.05</v>
      </c>
      <c r="F17" s="417">
        <f t="shared" si="2"/>
        <v>778179.36375000002</v>
      </c>
      <c r="G17" s="497">
        <f t="shared" si="0"/>
        <v>1709751.36375</v>
      </c>
      <c r="H17" s="153"/>
      <c r="I17" s="219"/>
      <c r="J17" s="126"/>
    </row>
    <row r="18" spans="2:20" x14ac:dyDescent="0.25">
      <c r="B18" s="418" t="s">
        <v>54</v>
      </c>
      <c r="C18" s="419">
        <v>5.08</v>
      </c>
      <c r="D18" s="415">
        <f t="shared" si="1"/>
        <v>1046988</v>
      </c>
      <c r="E18" s="420">
        <v>0.05</v>
      </c>
      <c r="F18" s="417">
        <f t="shared" si="2"/>
        <v>778179.36375000002</v>
      </c>
      <c r="G18" s="497">
        <f t="shared" si="0"/>
        <v>1825167.36375</v>
      </c>
      <c r="H18" s="153"/>
      <c r="I18" s="219"/>
      <c r="J18" s="126"/>
    </row>
    <row r="19" spans="2:20" x14ac:dyDescent="0.25">
      <c r="B19" s="418" t="s">
        <v>55</v>
      </c>
      <c r="C19" s="419">
        <v>8.92</v>
      </c>
      <c r="D19" s="415">
        <f t="shared" si="1"/>
        <v>1838412</v>
      </c>
      <c r="E19" s="420">
        <v>0.05</v>
      </c>
      <c r="F19" s="417">
        <f t="shared" si="2"/>
        <v>778179.36375000002</v>
      </c>
      <c r="G19" s="497">
        <f t="shared" si="0"/>
        <v>2616591.36375</v>
      </c>
      <c r="H19" s="153"/>
      <c r="I19" s="219"/>
      <c r="J19" s="126"/>
    </row>
    <row r="20" spans="2:20" x14ac:dyDescent="0.25">
      <c r="B20" s="418" t="s">
        <v>56</v>
      </c>
      <c r="C20" s="419">
        <v>5.0199999999999996</v>
      </c>
      <c r="D20" s="415">
        <f t="shared" si="1"/>
        <v>1034621.9999999999</v>
      </c>
      <c r="E20" s="420">
        <v>0.05</v>
      </c>
      <c r="F20" s="417">
        <f t="shared" si="2"/>
        <v>778179.36375000002</v>
      </c>
      <c r="G20" s="497">
        <f t="shared" si="0"/>
        <v>1812801.36375</v>
      </c>
      <c r="H20" s="153"/>
      <c r="I20" s="219"/>
      <c r="J20" s="126"/>
    </row>
    <row r="21" spans="2:20" x14ac:dyDescent="0.25">
      <c r="B21" s="418" t="s">
        <v>57</v>
      </c>
      <c r="C21" s="419">
        <v>4.29</v>
      </c>
      <c r="D21" s="415">
        <f t="shared" si="1"/>
        <v>884169</v>
      </c>
      <c r="E21" s="420">
        <v>0.05</v>
      </c>
      <c r="F21" s="417">
        <f t="shared" si="2"/>
        <v>778179.36375000002</v>
      </c>
      <c r="G21" s="497">
        <f t="shared" si="0"/>
        <v>1662348.36375</v>
      </c>
      <c r="H21" s="153"/>
      <c r="I21" s="219"/>
      <c r="J21" s="126"/>
    </row>
    <row r="22" spans="2:20" x14ac:dyDescent="0.25">
      <c r="B22" s="418" t="s">
        <v>58</v>
      </c>
      <c r="C22" s="419">
        <v>3.04</v>
      </c>
      <c r="D22" s="415">
        <f t="shared" si="1"/>
        <v>626544</v>
      </c>
      <c r="E22" s="420">
        <v>0.05</v>
      </c>
      <c r="F22" s="417">
        <f t="shared" si="2"/>
        <v>778179.36375000002</v>
      </c>
      <c r="G22" s="497">
        <f t="shared" si="0"/>
        <v>1404723.36375</v>
      </c>
      <c r="H22" s="153"/>
      <c r="I22" s="219"/>
      <c r="J22" s="126"/>
    </row>
    <row r="23" spans="2:20" x14ac:dyDescent="0.25">
      <c r="B23" s="418" t="s">
        <v>59</v>
      </c>
      <c r="C23" s="419">
        <v>6.7</v>
      </c>
      <c r="D23" s="415">
        <f t="shared" si="1"/>
        <v>1380870</v>
      </c>
      <c r="E23" s="420">
        <v>0.05</v>
      </c>
      <c r="F23" s="417">
        <f t="shared" si="2"/>
        <v>778179.36375000002</v>
      </c>
      <c r="G23" s="497">
        <f t="shared" si="0"/>
        <v>2159049.36375</v>
      </c>
      <c r="H23" s="153"/>
      <c r="I23" s="219"/>
      <c r="J23" s="126"/>
    </row>
    <row r="24" spans="2:20" x14ac:dyDescent="0.25">
      <c r="B24" s="418" t="s">
        <v>60</v>
      </c>
      <c r="C24" s="419">
        <v>5.08</v>
      </c>
      <c r="D24" s="415">
        <f t="shared" si="1"/>
        <v>1046988</v>
      </c>
      <c r="E24" s="420">
        <v>0.05</v>
      </c>
      <c r="F24" s="417">
        <f t="shared" si="2"/>
        <v>778179.36375000002</v>
      </c>
      <c r="G24" s="497">
        <f t="shared" si="0"/>
        <v>1825167.36375</v>
      </c>
      <c r="H24" s="153"/>
      <c r="I24" s="219"/>
      <c r="J24" s="126"/>
    </row>
    <row r="25" spans="2:20" x14ac:dyDescent="0.25">
      <c r="B25" s="418" t="s">
        <v>61</v>
      </c>
      <c r="C25" s="419">
        <v>1.7</v>
      </c>
      <c r="D25" s="415">
        <f t="shared" si="1"/>
        <v>350370</v>
      </c>
      <c r="E25" s="420">
        <v>0.05</v>
      </c>
      <c r="F25" s="417">
        <f t="shared" si="2"/>
        <v>778179.36375000002</v>
      </c>
      <c r="G25" s="497">
        <f t="shared" si="0"/>
        <v>1128549.36375</v>
      </c>
      <c r="H25" s="153"/>
      <c r="I25" s="219"/>
      <c r="J25" s="126"/>
    </row>
    <row r="26" spans="2:20" x14ac:dyDescent="0.25">
      <c r="B26" s="418" t="s">
        <v>62</v>
      </c>
      <c r="C26" s="419">
        <v>4.08</v>
      </c>
      <c r="D26" s="415">
        <f t="shared" si="1"/>
        <v>840888</v>
      </c>
      <c r="E26" s="420">
        <v>0.05</v>
      </c>
      <c r="F26" s="417">
        <f t="shared" si="2"/>
        <v>778179.36375000002</v>
      </c>
      <c r="G26" s="497">
        <f t="shared" si="0"/>
        <v>1619067.36375</v>
      </c>
      <c r="H26" s="153"/>
      <c r="I26" s="219"/>
      <c r="J26" s="126"/>
    </row>
    <row r="27" spans="2:20" x14ac:dyDescent="0.25">
      <c r="B27" s="418" t="s">
        <v>63</v>
      </c>
      <c r="C27" s="419">
        <v>0.37</v>
      </c>
      <c r="D27" s="415">
        <f t="shared" si="1"/>
        <v>76257</v>
      </c>
      <c r="E27" s="420">
        <v>0.05</v>
      </c>
      <c r="F27" s="417">
        <f t="shared" si="2"/>
        <v>778179.36375000002</v>
      </c>
      <c r="G27" s="497">
        <f t="shared" si="0"/>
        <v>854436.36375000002</v>
      </c>
      <c r="H27" s="153"/>
      <c r="I27" s="219"/>
      <c r="J27" s="126"/>
    </row>
    <row r="28" spans="2:20" x14ac:dyDescent="0.25">
      <c r="B28" s="418" t="s">
        <v>64</v>
      </c>
      <c r="C28" s="419">
        <v>3.77</v>
      </c>
      <c r="D28" s="415">
        <f t="shared" si="1"/>
        <v>776997</v>
      </c>
      <c r="E28" s="420">
        <v>0.05</v>
      </c>
      <c r="F28" s="417">
        <f t="shared" si="2"/>
        <v>778179.36375000002</v>
      </c>
      <c r="G28" s="497">
        <f t="shared" si="0"/>
        <v>1555176.36375</v>
      </c>
      <c r="H28" s="153"/>
      <c r="I28" s="219"/>
      <c r="J28" s="126"/>
    </row>
    <row r="29" spans="2:20" ht="15.75" thickBot="1" x14ac:dyDescent="0.3">
      <c r="B29" s="421" t="s">
        <v>65</v>
      </c>
      <c r="C29" s="422">
        <v>4.5999999999999996</v>
      </c>
      <c r="D29" s="423">
        <f t="shared" si="1"/>
        <v>948060</v>
      </c>
      <c r="E29" s="424">
        <v>0.05</v>
      </c>
      <c r="F29" s="417">
        <f>$F$30*E29+7</f>
        <v>778186.36375000002</v>
      </c>
      <c r="G29" s="497">
        <f t="shared" si="0"/>
        <v>1726246.36375</v>
      </c>
      <c r="H29" s="153"/>
      <c r="I29" s="219"/>
      <c r="J29" s="126"/>
    </row>
    <row r="30" spans="2:20" ht="15.75" thickBot="1" x14ac:dyDescent="0.3">
      <c r="B30" s="339" t="s">
        <v>66</v>
      </c>
      <c r="C30" s="425">
        <f t="shared" ref="C30:G30" si="3">SUM(C10:C29)</f>
        <v>100</v>
      </c>
      <c r="D30" s="341">
        <f>Datos!K50</f>
        <v>20610000</v>
      </c>
      <c r="E30" s="360">
        <v>100</v>
      </c>
      <c r="F30" s="426">
        <f>Datos!K51</f>
        <v>15563587.274999999</v>
      </c>
      <c r="G30" s="427">
        <f t="shared" si="3"/>
        <v>36173594.274999999</v>
      </c>
      <c r="H30" s="579"/>
      <c r="I30" s="159"/>
      <c r="J30" s="691"/>
      <c r="K30" s="159"/>
      <c r="L30" s="159"/>
      <c r="M30" s="159"/>
      <c r="N30" s="159"/>
      <c r="O30" s="159"/>
      <c r="P30" s="159"/>
      <c r="Q30" s="159"/>
    </row>
    <row r="31" spans="2:20" x14ac:dyDescent="0.25">
      <c r="B31" s="869" t="s">
        <v>300</v>
      </c>
      <c r="C31" s="869"/>
      <c r="D31" s="869"/>
      <c r="E31" s="869"/>
      <c r="F31" s="869"/>
      <c r="G31" s="869"/>
      <c r="H31" s="578"/>
      <c r="I31" s="578"/>
      <c r="J31" s="692"/>
      <c r="K31" s="578"/>
      <c r="L31" s="578"/>
      <c r="M31" s="578"/>
      <c r="N31" s="578"/>
      <c r="O31" s="578"/>
      <c r="P31" s="578"/>
      <c r="Q31" s="578"/>
    </row>
    <row r="32" spans="2:20" s="597" customFormat="1" ht="35.25" customHeight="1" x14ac:dyDescent="0.25">
      <c r="B32" s="907" t="s">
        <v>373</v>
      </c>
      <c r="C32" s="817"/>
      <c r="D32" s="817"/>
      <c r="E32" s="817"/>
      <c r="F32" s="817"/>
      <c r="G32" s="817"/>
      <c r="H32" s="589"/>
      <c r="I32" s="589"/>
      <c r="J32" s="589"/>
      <c r="K32" s="589"/>
      <c r="L32" s="589"/>
      <c r="M32" s="589"/>
      <c r="N32" s="589"/>
      <c r="O32" s="589"/>
      <c r="P32" s="589"/>
      <c r="Q32" s="589"/>
      <c r="R32" s="589"/>
      <c r="S32" s="589"/>
      <c r="T32" s="589"/>
    </row>
  </sheetData>
  <mergeCells count="10">
    <mergeCell ref="B32:G32"/>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T33"/>
  <sheetViews>
    <sheetView workbookViewId="0">
      <selection activeCell="B2" sqref="B2:H2"/>
    </sheetView>
  </sheetViews>
  <sheetFormatPr baseColWidth="10" defaultColWidth="11.42578125" defaultRowHeight="14.25" x14ac:dyDescent="0.2"/>
  <cols>
    <col min="1" max="1" width="3.5703125" style="11" customWidth="1"/>
    <col min="2" max="2" width="20.42578125" style="11" customWidth="1"/>
    <col min="3" max="3" width="13.28515625" style="11" bestFit="1" customWidth="1"/>
    <col min="4" max="4" width="12.140625" style="11" bestFit="1" customWidth="1"/>
    <col min="5" max="5" width="10.140625" style="11" bestFit="1" customWidth="1"/>
    <col min="6" max="6" width="12.42578125" style="11" bestFit="1" customWidth="1"/>
    <col min="7" max="7" width="13.7109375" style="11" customWidth="1"/>
    <col min="8" max="8" width="13.28515625" style="79" bestFit="1" customWidth="1"/>
    <col min="9" max="16384" width="11.42578125" style="11"/>
  </cols>
  <sheetData>
    <row r="1" spans="2:8" ht="18" x14ac:dyDescent="0.25">
      <c r="B1" s="920"/>
      <c r="C1" s="920"/>
      <c r="D1" s="920"/>
      <c r="E1" s="920"/>
      <c r="F1" s="920"/>
      <c r="G1" s="920"/>
      <c r="H1" s="920"/>
    </row>
    <row r="2" spans="2:8" ht="15" x14ac:dyDescent="0.25">
      <c r="B2" s="860" t="s">
        <v>379</v>
      </c>
      <c r="C2" s="860"/>
      <c r="D2" s="860"/>
      <c r="E2" s="860"/>
      <c r="F2" s="860"/>
      <c r="G2" s="860"/>
      <c r="H2" s="860"/>
    </row>
    <row r="3" spans="2:8" ht="15" thickBot="1" x14ac:dyDescent="0.25"/>
    <row r="4" spans="2:8" ht="30" customHeight="1" x14ac:dyDescent="0.25">
      <c r="B4" s="925" t="s">
        <v>85</v>
      </c>
      <c r="C4" s="428" t="s">
        <v>86</v>
      </c>
      <c r="D4" s="428" t="s">
        <v>21</v>
      </c>
      <c r="E4" s="922" t="s">
        <v>22</v>
      </c>
      <c r="F4" s="922"/>
      <c r="G4" s="922" t="s">
        <v>317</v>
      </c>
      <c r="H4" s="921" t="s">
        <v>316</v>
      </c>
    </row>
    <row r="5" spans="2:8" ht="15" x14ac:dyDescent="0.25">
      <c r="B5" s="788"/>
      <c r="C5" s="429" t="s">
        <v>91</v>
      </c>
      <c r="D5" s="429" t="s">
        <v>31</v>
      </c>
      <c r="E5" s="926">
        <v>2015</v>
      </c>
      <c r="F5" s="926"/>
      <c r="G5" s="923"/>
      <c r="H5" s="791"/>
    </row>
    <row r="6" spans="2:8" ht="15" x14ac:dyDescent="0.25">
      <c r="B6" s="788"/>
      <c r="C6" s="430">
        <v>2014</v>
      </c>
      <c r="D6" s="430" t="s">
        <v>37</v>
      </c>
      <c r="E6" s="429" t="s">
        <v>39</v>
      </c>
      <c r="F6" s="429" t="s">
        <v>38</v>
      </c>
      <c r="G6" s="923"/>
      <c r="H6" s="791"/>
    </row>
    <row r="7" spans="2:8" ht="15.75" thickBot="1" x14ac:dyDescent="0.3">
      <c r="B7" s="789"/>
      <c r="C7" s="431" t="s">
        <v>72</v>
      </c>
      <c r="D7" s="431" t="s">
        <v>99</v>
      </c>
      <c r="E7" s="430" t="s">
        <v>73</v>
      </c>
      <c r="F7" s="431" t="s">
        <v>100</v>
      </c>
      <c r="G7" s="431" t="s">
        <v>75</v>
      </c>
      <c r="H7" s="432" t="s">
        <v>308</v>
      </c>
    </row>
    <row r="8" spans="2:8" x14ac:dyDescent="0.2">
      <c r="B8" s="418" t="s">
        <v>46</v>
      </c>
      <c r="C8" s="419">
        <v>3.65</v>
      </c>
      <c r="D8" s="415">
        <v>1418873.625</v>
      </c>
      <c r="E8" s="433">
        <v>37309</v>
      </c>
      <c r="F8" s="434">
        <f>E8/$E$28*100</f>
        <v>3.1589687142796663</v>
      </c>
      <c r="G8" s="435">
        <f>Datos!K$56*'IEPS GyD '!F8/100</f>
        <v>487260.97658515727</v>
      </c>
      <c r="H8" s="436">
        <f>D8+G8</f>
        <v>1906134.6015851572</v>
      </c>
    </row>
    <row r="9" spans="2:8" x14ac:dyDescent="0.2">
      <c r="B9" s="418" t="s">
        <v>47</v>
      </c>
      <c r="C9" s="419">
        <v>1.49</v>
      </c>
      <c r="D9" s="415">
        <v>579211.42500000005</v>
      </c>
      <c r="E9" s="437">
        <v>15953</v>
      </c>
      <c r="F9" s="438">
        <f t="shared" ref="F9:F27" si="0">E9/$E$28*100</f>
        <v>1.3507472164599297</v>
      </c>
      <c r="G9" s="435">
        <f>Datos!K$56*'IEPS GyD '!F9/100</f>
        <v>208348.50463595951</v>
      </c>
      <c r="H9" s="436">
        <f t="shared" ref="H9:H27" si="1">D9+G9</f>
        <v>787559.92963595956</v>
      </c>
    </row>
    <row r="10" spans="2:8" x14ac:dyDescent="0.2">
      <c r="B10" s="418" t="s">
        <v>48</v>
      </c>
      <c r="C10" s="419">
        <v>1.0900000000000001</v>
      </c>
      <c r="D10" s="415">
        <v>423718.42499999999</v>
      </c>
      <c r="E10" s="437">
        <v>11851</v>
      </c>
      <c r="F10" s="438">
        <f t="shared" si="0"/>
        <v>1.0034291520257399</v>
      </c>
      <c r="G10" s="435">
        <f>Datos!K$56*'IEPS GyD '!F10/100</f>
        <v>154775.78690157068</v>
      </c>
      <c r="H10" s="436">
        <f t="shared" si="1"/>
        <v>578494.21190157067</v>
      </c>
    </row>
    <row r="11" spans="2:8" x14ac:dyDescent="0.2">
      <c r="B11" s="418" t="s">
        <v>49</v>
      </c>
      <c r="C11" s="419">
        <v>8.82</v>
      </c>
      <c r="D11" s="415">
        <v>3428620.65</v>
      </c>
      <c r="E11" s="437">
        <v>150250</v>
      </c>
      <c r="F11" s="438">
        <f t="shared" si="0"/>
        <v>12.721730663392744</v>
      </c>
      <c r="G11" s="435">
        <f>Datos!K$56*'IEPS GyD '!F11/100</f>
        <v>1962286.8940984721</v>
      </c>
      <c r="H11" s="436">
        <f t="shared" si="1"/>
        <v>5390907.5440984722</v>
      </c>
    </row>
    <row r="12" spans="2:8" x14ac:dyDescent="0.2">
      <c r="B12" s="418" t="s">
        <v>50</v>
      </c>
      <c r="C12" s="419">
        <v>6.63</v>
      </c>
      <c r="D12" s="415">
        <v>2577296.4750000001</v>
      </c>
      <c r="E12" s="437">
        <v>75520</v>
      </c>
      <c r="F12" s="438">
        <f t="shared" si="0"/>
        <v>6.3943101477498834</v>
      </c>
      <c r="G12" s="435">
        <f>Datos!K$56*'IEPS GyD '!F12/100</f>
        <v>986302.20460776438</v>
      </c>
      <c r="H12" s="436">
        <f t="shared" si="1"/>
        <v>3563598.6796077644</v>
      </c>
    </row>
    <row r="13" spans="2:8" x14ac:dyDescent="0.2">
      <c r="B13" s="418" t="s">
        <v>51</v>
      </c>
      <c r="C13" s="419">
        <v>3.22</v>
      </c>
      <c r="D13" s="415">
        <v>1251718.6500000001</v>
      </c>
      <c r="E13" s="437">
        <v>42514</v>
      </c>
      <c r="F13" s="438">
        <f t="shared" si="0"/>
        <v>3.5996782524025233</v>
      </c>
      <c r="G13" s="435">
        <f>Datos!K$56*'IEPS GyD '!F13/100</f>
        <v>555239.03504627245</v>
      </c>
      <c r="H13" s="436">
        <f t="shared" si="1"/>
        <v>1806957.6850462726</v>
      </c>
    </row>
    <row r="14" spans="2:8" x14ac:dyDescent="0.2">
      <c r="B14" s="418" t="s">
        <v>52</v>
      </c>
      <c r="C14" s="419">
        <v>1.1100000000000001</v>
      </c>
      <c r="D14" s="415">
        <v>431493.07500000001</v>
      </c>
      <c r="E14" s="437">
        <v>12614</v>
      </c>
      <c r="F14" s="438">
        <f t="shared" si="0"/>
        <v>1.0680326827822699</v>
      </c>
      <c r="G14" s="435">
        <f>Datos!K$56*'IEPS GyD '!F14/100</f>
        <v>164740.67808424708</v>
      </c>
      <c r="H14" s="436">
        <f t="shared" si="1"/>
        <v>596233.75308424712</v>
      </c>
    </row>
    <row r="15" spans="2:8" x14ac:dyDescent="0.2">
      <c r="B15" s="418" t="s">
        <v>53</v>
      </c>
      <c r="C15" s="419">
        <v>2.71</v>
      </c>
      <c r="D15" s="415">
        <v>1053465.075</v>
      </c>
      <c r="E15" s="437">
        <v>29416</v>
      </c>
      <c r="F15" s="438">
        <f t="shared" si="0"/>
        <v>2.4906650861521529</v>
      </c>
      <c r="G15" s="435">
        <f>Datos!K$56*'IEPS GyD '!F15/100</f>
        <v>384177.24643461331</v>
      </c>
      <c r="H15" s="436">
        <f t="shared" si="1"/>
        <v>1437642.3214346133</v>
      </c>
    </row>
    <row r="16" spans="2:8" x14ac:dyDescent="0.2">
      <c r="B16" s="418" t="s">
        <v>54</v>
      </c>
      <c r="C16" s="419">
        <v>1.69</v>
      </c>
      <c r="D16" s="415">
        <v>656957.92499999993</v>
      </c>
      <c r="E16" s="437">
        <v>18580</v>
      </c>
      <c r="F16" s="438">
        <f t="shared" si="0"/>
        <v>1.5731764108208799</v>
      </c>
      <c r="G16" s="435">
        <f>Datos!K$56*'IEPS GyD '!F16/100</f>
        <v>242657.50743660307</v>
      </c>
      <c r="H16" s="436">
        <f t="shared" si="1"/>
        <v>899615.43243660301</v>
      </c>
    </row>
    <row r="17" spans="2:20" x14ac:dyDescent="0.2">
      <c r="B17" s="418" t="s">
        <v>55</v>
      </c>
      <c r="C17" s="419">
        <v>1.27</v>
      </c>
      <c r="D17" s="415">
        <v>493690.27500000002</v>
      </c>
      <c r="E17" s="437">
        <v>14315</v>
      </c>
      <c r="F17" s="438">
        <f t="shared" si="0"/>
        <v>1.212057067863342</v>
      </c>
      <c r="G17" s="435">
        <f>Datos!K$56*'IEPS GyD '!F17/100</f>
        <v>186955.98595021383</v>
      </c>
      <c r="H17" s="436">
        <f t="shared" si="1"/>
        <v>680646.26095021388</v>
      </c>
    </row>
    <row r="18" spans="2:20" x14ac:dyDescent="0.2">
      <c r="B18" s="418" t="s">
        <v>56</v>
      </c>
      <c r="C18" s="419">
        <v>3.39</v>
      </c>
      <c r="D18" s="415">
        <v>1317803.175</v>
      </c>
      <c r="E18" s="437">
        <v>33901</v>
      </c>
      <c r="F18" s="438">
        <f t="shared" si="0"/>
        <v>2.8704119215951907</v>
      </c>
      <c r="G18" s="435">
        <f>Datos!K$56*'IEPS GyD '!F18/100</f>
        <v>442751.99997891707</v>
      </c>
      <c r="H18" s="436">
        <f t="shared" si="1"/>
        <v>1760555.174978917</v>
      </c>
    </row>
    <row r="19" spans="2:20" x14ac:dyDescent="0.2">
      <c r="B19" s="418" t="s">
        <v>57</v>
      </c>
      <c r="C19" s="419">
        <v>2.21</v>
      </c>
      <c r="D19" s="415">
        <v>859098.82499999995</v>
      </c>
      <c r="E19" s="437">
        <v>24743</v>
      </c>
      <c r="F19" s="438">
        <f t="shared" si="0"/>
        <v>2.0950002116760511</v>
      </c>
      <c r="G19" s="435">
        <f>Datos!K$56*'IEPS GyD '!F19/100</f>
        <v>323147.18549536431</v>
      </c>
      <c r="H19" s="436">
        <f t="shared" si="1"/>
        <v>1182246.0104953642</v>
      </c>
    </row>
    <row r="20" spans="2:20" x14ac:dyDescent="0.2">
      <c r="B20" s="418" t="s">
        <v>58</v>
      </c>
      <c r="C20" s="419">
        <v>3.95</v>
      </c>
      <c r="D20" s="415">
        <v>1535493.375</v>
      </c>
      <c r="E20" s="437">
        <v>43979</v>
      </c>
      <c r="F20" s="438">
        <f t="shared" si="0"/>
        <v>3.7237204182718768</v>
      </c>
      <c r="G20" s="435">
        <f>Datos!K$56*'IEPS GyD '!F20/100</f>
        <v>574372.14852283988</v>
      </c>
      <c r="H20" s="436">
        <f t="shared" si="1"/>
        <v>2109865.5235228399</v>
      </c>
    </row>
    <row r="21" spans="2:20" x14ac:dyDescent="0.2">
      <c r="B21" s="418" t="s">
        <v>59</v>
      </c>
      <c r="C21" s="419">
        <v>0.75</v>
      </c>
      <c r="D21" s="415">
        <v>291549.375</v>
      </c>
      <c r="E21" s="437">
        <v>7499</v>
      </c>
      <c r="F21" s="438">
        <f t="shared" si="0"/>
        <v>0.63494348249439059</v>
      </c>
      <c r="G21" s="435">
        <f>Datos!K$56*'IEPS GyD '!F21/100</f>
        <v>97938.032737733389</v>
      </c>
      <c r="H21" s="436">
        <f t="shared" si="1"/>
        <v>389487.40773773339</v>
      </c>
    </row>
    <row r="22" spans="2:20" x14ac:dyDescent="0.2">
      <c r="B22" s="418" t="s">
        <v>60</v>
      </c>
      <c r="C22" s="419">
        <v>2.2799999999999998</v>
      </c>
      <c r="D22" s="415">
        <v>886310.09999999986</v>
      </c>
      <c r="E22" s="437">
        <v>23477</v>
      </c>
      <c r="F22" s="438">
        <f t="shared" si="0"/>
        <v>1.9878074594640365</v>
      </c>
      <c r="G22" s="435">
        <f>Datos!K$56*'IEPS GyD '!F22/100</f>
        <v>306613.04101663781</v>
      </c>
      <c r="H22" s="436">
        <f t="shared" si="1"/>
        <v>1192923.1410166377</v>
      </c>
    </row>
    <row r="23" spans="2:20" x14ac:dyDescent="0.2">
      <c r="B23" s="418" t="s">
        <v>61</v>
      </c>
      <c r="C23" s="419">
        <v>8.8800000000000008</v>
      </c>
      <c r="D23" s="415">
        <v>3451944.6</v>
      </c>
      <c r="E23" s="437">
        <v>97820</v>
      </c>
      <c r="F23" s="438">
        <f t="shared" si="0"/>
        <v>8.2824605224164927</v>
      </c>
      <c r="G23" s="435">
        <f>Datos!K$56*'IEPS GyD '!F23/100</f>
        <v>1277543.4541145591</v>
      </c>
      <c r="H23" s="436">
        <f t="shared" si="1"/>
        <v>4729488.0541145597</v>
      </c>
    </row>
    <row r="24" spans="2:20" x14ac:dyDescent="0.2">
      <c r="B24" s="418" t="s">
        <v>62</v>
      </c>
      <c r="C24" s="419">
        <v>3.92</v>
      </c>
      <c r="D24" s="415">
        <v>1523831.4000000001</v>
      </c>
      <c r="E24" s="437">
        <v>39718</v>
      </c>
      <c r="F24" s="438">
        <f t="shared" si="0"/>
        <v>3.3629397569958934</v>
      </c>
      <c r="G24" s="435">
        <f>Datos!K$56*'IEPS GyD '!F24/100</f>
        <v>518722.86761932186</v>
      </c>
      <c r="H24" s="436">
        <f t="shared" si="1"/>
        <v>2042554.2676193221</v>
      </c>
    </row>
    <row r="25" spans="2:20" x14ac:dyDescent="0.2">
      <c r="B25" s="418" t="s">
        <v>63</v>
      </c>
      <c r="C25" s="419">
        <v>35.42</v>
      </c>
      <c r="D25" s="415">
        <v>13768905.15</v>
      </c>
      <c r="E25" s="437">
        <v>413608</v>
      </c>
      <c r="F25" s="438">
        <f t="shared" si="0"/>
        <v>35.020363236103471</v>
      </c>
      <c r="G25" s="435">
        <f>Datos!K$56*'IEPS GyD '!F25/100</f>
        <v>5401780.75004513</v>
      </c>
      <c r="H25" s="436">
        <f t="shared" si="1"/>
        <v>19170685.90004513</v>
      </c>
    </row>
    <row r="26" spans="2:20" x14ac:dyDescent="0.2">
      <c r="B26" s="418" t="s">
        <v>64</v>
      </c>
      <c r="C26" s="419">
        <v>3</v>
      </c>
      <c r="D26" s="415">
        <v>1166197.5</v>
      </c>
      <c r="E26" s="437">
        <v>30565</v>
      </c>
      <c r="F26" s="438">
        <f t="shared" si="0"/>
        <v>2.5879513991786967</v>
      </c>
      <c r="G26" s="435">
        <f>Datos!K$56*'IEPS GyD '!F26/100</f>
        <v>399183.35386435798</v>
      </c>
      <c r="H26" s="436">
        <f t="shared" si="1"/>
        <v>1565380.853864358</v>
      </c>
    </row>
    <row r="27" spans="2:20" ht="15" thickBot="1" x14ac:dyDescent="0.25">
      <c r="B27" s="418" t="s">
        <v>65</v>
      </c>
      <c r="C27" s="419">
        <v>4.5199999999999996</v>
      </c>
      <c r="D27" s="415">
        <v>1757070.9</v>
      </c>
      <c r="E27" s="439">
        <v>57418</v>
      </c>
      <c r="F27" s="440">
        <f t="shared" si="0"/>
        <v>4.8616061978747727</v>
      </c>
      <c r="G27" s="435">
        <f>Datos!K$56*'IEPS GyD '!F27/100</f>
        <v>749887.44682426658</v>
      </c>
      <c r="H27" s="436">
        <f t="shared" si="1"/>
        <v>2506958.3468242665</v>
      </c>
    </row>
    <row r="28" spans="2:20" ht="15.75" thickBot="1" x14ac:dyDescent="0.3">
      <c r="B28" s="339" t="s">
        <v>66</v>
      </c>
      <c r="C28" s="425">
        <f>SUM(C8:C27)</f>
        <v>100.00000000000001</v>
      </c>
      <c r="D28" s="341">
        <f>SUM(D8:D27)</f>
        <v>38873250</v>
      </c>
      <c r="E28" s="441">
        <f>SUM(E8:E27)</f>
        <v>1181050</v>
      </c>
      <c r="F28" s="442">
        <f>SUM(F8:F27)</f>
        <v>100.00000000000001</v>
      </c>
      <c r="G28" s="443">
        <f>SUM(G8:G27)</f>
        <v>15424685.100000001</v>
      </c>
      <c r="H28" s="444">
        <f>D28+G28</f>
        <v>54297935.100000001</v>
      </c>
    </row>
    <row r="29" spans="2:20" ht="15" customHeight="1" x14ac:dyDescent="0.2">
      <c r="B29" s="924" t="s">
        <v>300</v>
      </c>
      <c r="C29" s="924"/>
      <c r="D29" s="924"/>
      <c r="E29" s="924"/>
      <c r="F29" s="924"/>
      <c r="G29" s="924"/>
      <c r="H29" s="924"/>
    </row>
    <row r="30" spans="2:20" x14ac:dyDescent="0.2">
      <c r="B30" s="575" t="s">
        <v>299</v>
      </c>
      <c r="C30" s="580"/>
      <c r="D30" s="581"/>
      <c r="E30" s="581"/>
      <c r="F30" s="581"/>
      <c r="G30" s="582"/>
      <c r="H30" s="581"/>
      <c r="I30" s="581"/>
      <c r="J30" s="583"/>
      <c r="K30" s="583"/>
      <c r="L30" s="584"/>
      <c r="M30" s="584"/>
      <c r="N30" s="585"/>
      <c r="O30" s="581"/>
      <c r="P30" s="581"/>
    </row>
    <row r="31" spans="2:20" ht="55.5" customHeight="1" x14ac:dyDescent="0.2">
      <c r="B31" s="870" t="s">
        <v>302</v>
      </c>
      <c r="C31" s="870"/>
      <c r="D31" s="870"/>
      <c r="E31" s="870"/>
      <c r="F31" s="870"/>
      <c r="G31" s="870"/>
      <c r="H31" s="870"/>
      <c r="I31" s="586"/>
      <c r="J31" s="586"/>
      <c r="K31" s="586"/>
      <c r="L31" s="586"/>
      <c r="M31" s="586"/>
      <c r="N31" s="590"/>
      <c r="O31" s="586"/>
      <c r="P31" s="586"/>
    </row>
    <row r="32" spans="2:20" ht="14.25" customHeight="1" x14ac:dyDescent="0.2">
      <c r="B32" s="820" t="s">
        <v>303</v>
      </c>
      <c r="C32" s="820"/>
      <c r="D32" s="820"/>
      <c r="E32" s="820"/>
      <c r="F32" s="820"/>
      <c r="G32" s="820"/>
      <c r="H32" s="820"/>
      <c r="I32" s="587"/>
      <c r="J32" s="587"/>
      <c r="K32" s="587"/>
      <c r="L32" s="587"/>
      <c r="M32" s="587"/>
      <c r="N32" s="587"/>
      <c r="O32" s="587"/>
      <c r="P32" s="587"/>
      <c r="Q32" s="587"/>
      <c r="R32" s="587"/>
      <c r="S32" s="587"/>
      <c r="T32" s="587"/>
    </row>
    <row r="33" spans="2:8" ht="25.5" customHeight="1" x14ac:dyDescent="0.2">
      <c r="B33" s="870" t="s">
        <v>373</v>
      </c>
      <c r="C33" s="870"/>
      <c r="D33" s="870"/>
      <c r="E33" s="870"/>
      <c r="F33" s="870"/>
      <c r="G33" s="870"/>
      <c r="H33" s="870"/>
    </row>
  </sheetData>
  <mergeCells count="11">
    <mergeCell ref="B1:H1"/>
    <mergeCell ref="H4:H6"/>
    <mergeCell ref="G4:G6"/>
    <mergeCell ref="B29:H29"/>
    <mergeCell ref="B33:H33"/>
    <mergeCell ref="B31:H31"/>
    <mergeCell ref="B32:H32"/>
    <mergeCell ref="B2:H2"/>
    <mergeCell ref="B4:B7"/>
    <mergeCell ref="E4:F4"/>
    <mergeCell ref="E5:F5"/>
  </mergeCells>
  <printOptions horizontalCentered="1"/>
  <pageMargins left="0.70866141732283472" right="0.39370078740157483" top="0.49" bottom="0.74803149606299213" header="0.31496062992125984" footer="0.31496062992125984"/>
  <pageSetup scale="97" orientation="landscape" r:id="rId1"/>
  <ignoredErrors>
    <ignoredError sqref="D6:D7 C7 E7:G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6"/>
  <sheetViews>
    <sheetView zoomScaleNormal="100" workbookViewId="0">
      <selection activeCell="B2" sqref="B2:K2"/>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2" customWidth="1"/>
    <col min="8" max="8" width="12.140625" style="12" customWidth="1"/>
    <col min="9" max="9" width="13.28515625" customWidth="1"/>
    <col min="10" max="10" width="13.140625" style="151" customWidth="1"/>
    <col min="11" max="11" width="13.85546875" style="151" customWidth="1"/>
    <col min="12" max="14" width="0" hidden="1" customWidth="1"/>
  </cols>
  <sheetData>
    <row r="1" spans="2:14" ht="18.75" x14ac:dyDescent="0.3">
      <c r="B1" s="927"/>
      <c r="C1" s="927"/>
      <c r="D1" s="927"/>
      <c r="E1" s="927"/>
      <c r="F1" s="927"/>
      <c r="G1" s="927"/>
      <c r="H1" s="927"/>
      <c r="I1" s="927"/>
      <c r="J1" s="927"/>
      <c r="K1" s="927"/>
    </row>
    <row r="2" spans="2:14" x14ac:dyDescent="0.25">
      <c r="B2" s="860" t="s">
        <v>380</v>
      </c>
      <c r="C2" s="860"/>
      <c r="D2" s="860"/>
      <c r="E2" s="860"/>
      <c r="F2" s="860"/>
      <c r="G2" s="860"/>
      <c r="H2" s="860"/>
      <c r="I2" s="860"/>
      <c r="J2" s="860"/>
      <c r="K2" s="860"/>
    </row>
    <row r="3" spans="2:14" x14ac:dyDescent="0.25">
      <c r="B3" s="934" t="s">
        <v>281</v>
      </c>
      <c r="C3" s="934"/>
      <c r="D3" s="934"/>
      <c r="E3" s="934"/>
      <c r="F3" s="934"/>
      <c r="G3" s="934"/>
      <c r="H3" s="934"/>
      <c r="I3" s="934"/>
      <c r="J3" s="934"/>
      <c r="K3" s="934"/>
    </row>
    <row r="4" spans="2:14" ht="15.75" thickBot="1" x14ac:dyDescent="0.3"/>
    <row r="5" spans="2:14" ht="15" customHeight="1" x14ac:dyDescent="0.25">
      <c r="B5" s="925" t="s">
        <v>85</v>
      </c>
      <c r="C5" s="930" t="s">
        <v>247</v>
      </c>
      <c r="D5" s="930" t="s">
        <v>272</v>
      </c>
      <c r="E5" s="928" t="s">
        <v>267</v>
      </c>
      <c r="F5" s="928" t="s">
        <v>271</v>
      </c>
      <c r="G5" s="930" t="s">
        <v>268</v>
      </c>
      <c r="H5" s="930" t="s">
        <v>269</v>
      </c>
      <c r="I5" s="930" t="s">
        <v>249</v>
      </c>
      <c r="J5" s="930" t="s">
        <v>318</v>
      </c>
      <c r="K5" s="932" t="s">
        <v>270</v>
      </c>
    </row>
    <row r="6" spans="2:14" x14ac:dyDescent="0.25">
      <c r="B6" s="788"/>
      <c r="C6" s="931"/>
      <c r="D6" s="931"/>
      <c r="E6" s="929"/>
      <c r="F6" s="929"/>
      <c r="G6" s="931"/>
      <c r="H6" s="931"/>
      <c r="I6" s="931"/>
      <c r="J6" s="931"/>
      <c r="K6" s="933"/>
    </row>
    <row r="7" spans="2:14" x14ac:dyDescent="0.25">
      <c r="B7" s="788"/>
      <c r="C7" s="931"/>
      <c r="D7" s="931"/>
      <c r="E7" s="929"/>
      <c r="F7" s="929"/>
      <c r="G7" s="931"/>
      <c r="H7" s="931"/>
      <c r="I7" s="931"/>
      <c r="J7" s="931"/>
      <c r="K7" s="933"/>
    </row>
    <row r="8" spans="2:14" ht="15.75" thickBot="1" x14ac:dyDescent="0.3">
      <c r="B8" s="789"/>
      <c r="C8" s="445" t="s">
        <v>72</v>
      </c>
      <c r="D8" s="445" t="s">
        <v>99</v>
      </c>
      <c r="E8" s="445" t="s">
        <v>73</v>
      </c>
      <c r="F8" s="445" t="s">
        <v>100</v>
      </c>
      <c r="G8" s="445" t="s">
        <v>75</v>
      </c>
      <c r="H8" s="445" t="s">
        <v>135</v>
      </c>
      <c r="I8" s="446" t="s">
        <v>136</v>
      </c>
      <c r="J8" s="445" t="s">
        <v>77</v>
      </c>
      <c r="K8" s="447" t="s">
        <v>137</v>
      </c>
      <c r="L8" s="160" t="s">
        <v>108</v>
      </c>
      <c r="M8" s="160" t="s">
        <v>138</v>
      </c>
      <c r="N8" s="161"/>
    </row>
    <row r="9" spans="2:14" x14ac:dyDescent="0.25">
      <c r="B9" s="448" t="s">
        <v>46</v>
      </c>
      <c r="C9" s="449">
        <v>3.65</v>
      </c>
      <c r="D9" s="450">
        <f>$D$29*C9/100</f>
        <v>1608902.6625000001</v>
      </c>
      <c r="E9" s="451">
        <f>'Predial y Agua'!G9</f>
        <v>11206191</v>
      </c>
      <c r="F9" s="452">
        <f>E9/$E$29*100</f>
        <v>1.6308681396833062</v>
      </c>
      <c r="G9" s="175">
        <v>37309</v>
      </c>
      <c r="H9" s="175">
        <f>F9*G9</f>
        <v>60846.059423444472</v>
      </c>
      <c r="I9" s="453">
        <f>H9/H$29*100</f>
        <v>0.26983085665102891</v>
      </c>
      <c r="J9" s="454">
        <f>$J$29*I9/100</f>
        <v>69923.755498374871</v>
      </c>
      <c r="K9" s="455">
        <f t="shared" ref="K9:K28" si="0">D9+J9</f>
        <v>1678826.4179983749</v>
      </c>
      <c r="L9" s="162">
        <f>I9</f>
        <v>0.26983085665102891</v>
      </c>
      <c r="M9" s="161">
        <v>0.307836</v>
      </c>
      <c r="N9" s="162">
        <f>L9-M9</f>
        <v>-3.8005143348971093E-2</v>
      </c>
    </row>
    <row r="10" spans="2:14" x14ac:dyDescent="0.25">
      <c r="B10" s="456" t="s">
        <v>47</v>
      </c>
      <c r="C10" s="449">
        <v>1.49</v>
      </c>
      <c r="D10" s="450">
        <f t="shared" ref="D10:D28" si="1">$D$29*C10/100</f>
        <v>656784.92249999999</v>
      </c>
      <c r="E10" s="451">
        <f>'Predial y Agua'!G10</f>
        <v>6496081</v>
      </c>
      <c r="F10" s="452">
        <f t="shared" ref="F10:F28" si="2">E10/$E$29*100</f>
        <v>0.94539273297252135</v>
      </c>
      <c r="G10" s="175">
        <v>15953</v>
      </c>
      <c r="H10" s="175">
        <f t="shared" ref="H10:H28" si="3">F10*G10</f>
        <v>15081.850269110633</v>
      </c>
      <c r="I10" s="453">
        <f t="shared" ref="I10:I29" si="4">H10/H$29*100</f>
        <v>6.6882697360490753E-2</v>
      </c>
      <c r="J10" s="454">
        <f t="shared" ref="J10:J28" si="5">$J$29*I10/100</f>
        <v>17331.929473711378</v>
      </c>
      <c r="K10" s="455">
        <f t="shared" si="0"/>
        <v>674116.8519737114</v>
      </c>
      <c r="L10" s="162">
        <f t="shared" ref="L10:L28" si="6">I10</f>
        <v>6.6882697360490753E-2</v>
      </c>
      <c r="M10" s="161">
        <v>5.7023999999999998E-2</v>
      </c>
      <c r="N10" s="162">
        <f t="shared" ref="N10:N28" si="7">L10-M10</f>
        <v>9.8586973604907549E-3</v>
      </c>
    </row>
    <row r="11" spans="2:14" x14ac:dyDescent="0.25">
      <c r="B11" s="456" t="s">
        <v>48</v>
      </c>
      <c r="C11" s="449">
        <v>1.0900000000000001</v>
      </c>
      <c r="D11" s="450">
        <f t="shared" si="1"/>
        <v>480466.82250000001</v>
      </c>
      <c r="E11" s="451">
        <f>'Predial y Agua'!G11</f>
        <v>3306953</v>
      </c>
      <c r="F11" s="452">
        <f t="shared" si="2"/>
        <v>0.48127006644185599</v>
      </c>
      <c r="G11" s="175">
        <v>11851</v>
      </c>
      <c r="H11" s="175">
        <f t="shared" si="3"/>
        <v>5703.5315574024353</v>
      </c>
      <c r="I11" s="453">
        <f t="shared" si="4"/>
        <v>2.52931549003006E-2</v>
      </c>
      <c r="J11" s="454">
        <f t="shared" si="5"/>
        <v>6554.4482235345467</v>
      </c>
      <c r="K11" s="455">
        <f t="shared" si="0"/>
        <v>487021.27072353457</v>
      </c>
      <c r="L11" s="162">
        <f t="shared" si="6"/>
        <v>2.52931549003006E-2</v>
      </c>
      <c r="M11" s="161">
        <v>3.8598E-2</v>
      </c>
      <c r="N11" s="162">
        <f t="shared" si="7"/>
        <v>-1.3304845099699401E-2</v>
      </c>
    </row>
    <row r="12" spans="2:14" x14ac:dyDescent="0.25">
      <c r="B12" s="456" t="s">
        <v>49</v>
      </c>
      <c r="C12" s="449">
        <v>8.82</v>
      </c>
      <c r="D12" s="450">
        <f t="shared" si="1"/>
        <v>3887814.105</v>
      </c>
      <c r="E12" s="451">
        <f>'Predial y Agua'!G12</f>
        <v>293520012</v>
      </c>
      <c r="F12" s="452">
        <f t="shared" si="2"/>
        <v>42.716783600267185</v>
      </c>
      <c r="G12" s="175">
        <v>150250</v>
      </c>
      <c r="H12" s="175">
        <f t="shared" si="3"/>
        <v>6418196.7359401444</v>
      </c>
      <c r="I12" s="453">
        <f t="shared" si="4"/>
        <v>28.462443415789711</v>
      </c>
      <c r="J12" s="454">
        <f t="shared" si="5"/>
        <v>7375735.1512467219</v>
      </c>
      <c r="K12" s="455">
        <f t="shared" si="0"/>
        <v>11263549.256246721</v>
      </c>
      <c r="L12" s="162">
        <f t="shared" si="6"/>
        <v>28.462443415789711</v>
      </c>
      <c r="M12" s="161">
        <v>27.722322999999999</v>
      </c>
      <c r="N12" s="162">
        <f t="shared" si="7"/>
        <v>0.74012041578971122</v>
      </c>
    </row>
    <row r="13" spans="2:14" x14ac:dyDescent="0.25">
      <c r="B13" s="456" t="s">
        <v>50</v>
      </c>
      <c r="C13" s="449">
        <v>6.63</v>
      </c>
      <c r="D13" s="450">
        <f t="shared" si="1"/>
        <v>2922472.5074999998</v>
      </c>
      <c r="E13" s="451">
        <f>'Predial y Agua'!G13</f>
        <v>26126480</v>
      </c>
      <c r="F13" s="452">
        <f t="shared" si="2"/>
        <v>3.8022592898936938</v>
      </c>
      <c r="G13" s="175">
        <v>75520</v>
      </c>
      <c r="H13" s="175">
        <f t="shared" si="3"/>
        <v>287146.62157277175</v>
      </c>
      <c r="I13" s="453">
        <f t="shared" si="4"/>
        <v>1.2733941954107182</v>
      </c>
      <c r="J13" s="454">
        <f t="shared" si="5"/>
        <v>329986.36804575892</v>
      </c>
      <c r="K13" s="455">
        <f t="shared" si="0"/>
        <v>3252458.8755457588</v>
      </c>
      <c r="L13" s="162">
        <f t="shared" si="6"/>
        <v>1.2733941954107182</v>
      </c>
      <c r="M13" s="161">
        <v>1.5035639999999999</v>
      </c>
      <c r="N13" s="162">
        <f t="shared" si="7"/>
        <v>-0.23016980458928171</v>
      </c>
    </row>
    <row r="14" spans="2:14" x14ac:dyDescent="0.25">
      <c r="B14" s="456" t="s">
        <v>51</v>
      </c>
      <c r="C14" s="449">
        <v>3.22</v>
      </c>
      <c r="D14" s="450">
        <f t="shared" si="1"/>
        <v>1419360.7050000001</v>
      </c>
      <c r="E14" s="451">
        <f>'Predial y Agua'!G14</f>
        <v>115798</v>
      </c>
      <c r="F14" s="452">
        <f t="shared" si="2"/>
        <v>1.6852404964278003E-2</v>
      </c>
      <c r="G14" s="175">
        <v>42514</v>
      </c>
      <c r="H14" s="175">
        <f t="shared" si="3"/>
        <v>716.46314465131502</v>
      </c>
      <c r="I14" s="453">
        <f t="shared" si="4"/>
        <v>3.1772618623460958E-3</v>
      </c>
      <c r="J14" s="454">
        <f t="shared" si="5"/>
        <v>823.35313453170409</v>
      </c>
      <c r="K14" s="455">
        <f t="shared" si="0"/>
        <v>1420184.0581345318</v>
      </c>
      <c r="L14" s="162">
        <f t="shared" si="6"/>
        <v>3.1772618623460958E-3</v>
      </c>
      <c r="M14" s="161">
        <v>1.0524E-2</v>
      </c>
      <c r="N14" s="162">
        <f t="shared" si="7"/>
        <v>-7.3467381376539041E-3</v>
      </c>
    </row>
    <row r="15" spans="2:14" x14ac:dyDescent="0.25">
      <c r="B15" s="456" t="s">
        <v>52</v>
      </c>
      <c r="C15" s="449">
        <v>1.1100000000000001</v>
      </c>
      <c r="D15" s="450">
        <f t="shared" si="1"/>
        <v>489282.7275000001</v>
      </c>
      <c r="E15" s="451">
        <f>'Predial y Agua'!G15</f>
        <v>92213</v>
      </c>
      <c r="F15" s="452">
        <f t="shared" si="2"/>
        <v>1.3420014326421592E-2</v>
      </c>
      <c r="G15" s="175">
        <v>12614</v>
      </c>
      <c r="H15" s="175">
        <f t="shared" si="3"/>
        <v>169.28006071348196</v>
      </c>
      <c r="I15" s="453">
        <f t="shared" si="4"/>
        <v>7.5069748524515486E-4</v>
      </c>
      <c r="J15" s="454">
        <f t="shared" si="5"/>
        <v>194.53515458913665</v>
      </c>
      <c r="K15" s="455">
        <f t="shared" si="0"/>
        <v>489477.26265458926</v>
      </c>
      <c r="L15" s="162">
        <f t="shared" si="6"/>
        <v>7.5069748524515486E-4</v>
      </c>
      <c r="M15" s="161">
        <v>6.78E-4</v>
      </c>
      <c r="N15" s="162">
        <f t="shared" si="7"/>
        <v>7.2697485245154861E-5</v>
      </c>
    </row>
    <row r="16" spans="2:14" x14ac:dyDescent="0.25">
      <c r="B16" s="456" t="s">
        <v>53</v>
      </c>
      <c r="C16" s="449">
        <v>2.71</v>
      </c>
      <c r="D16" s="450">
        <f t="shared" si="1"/>
        <v>1194555.1274999999</v>
      </c>
      <c r="E16" s="451">
        <f>'Predial y Agua'!G16</f>
        <v>11680521</v>
      </c>
      <c r="F16" s="452">
        <f t="shared" si="2"/>
        <v>1.6998987036542381</v>
      </c>
      <c r="G16" s="175">
        <v>29416</v>
      </c>
      <c r="H16" s="175">
        <f t="shared" si="3"/>
        <v>50004.220266693068</v>
      </c>
      <c r="I16" s="453">
        <f t="shared" si="4"/>
        <v>0.22175111615411686</v>
      </c>
      <c r="J16" s="454">
        <f t="shared" si="5"/>
        <v>57464.409444860525</v>
      </c>
      <c r="K16" s="455">
        <f t="shared" si="0"/>
        <v>1252019.5369448604</v>
      </c>
      <c r="L16" s="162">
        <f t="shared" si="6"/>
        <v>0.22175111615411686</v>
      </c>
      <c r="M16" s="161">
        <v>0.364313</v>
      </c>
      <c r="N16" s="162">
        <f t="shared" si="7"/>
        <v>-0.14256188384588314</v>
      </c>
    </row>
    <row r="17" spans="2:14" x14ac:dyDescent="0.25">
      <c r="B17" s="456" t="s">
        <v>54</v>
      </c>
      <c r="C17" s="449">
        <v>1.69</v>
      </c>
      <c r="D17" s="450">
        <f t="shared" si="1"/>
        <v>744943.97250000003</v>
      </c>
      <c r="E17" s="451">
        <f>'Predial y Agua'!G17</f>
        <v>3420820</v>
      </c>
      <c r="F17" s="452">
        <f t="shared" si="2"/>
        <v>0.49784144760618909</v>
      </c>
      <c r="G17" s="175">
        <v>18580</v>
      </c>
      <c r="H17" s="175">
        <f t="shared" si="3"/>
        <v>9249.894096522994</v>
      </c>
      <c r="I17" s="453">
        <f t="shared" si="4"/>
        <v>4.1020024495364474E-2</v>
      </c>
      <c r="J17" s="454">
        <f t="shared" si="5"/>
        <v>10629.896813694439</v>
      </c>
      <c r="K17" s="455">
        <f t="shared" si="0"/>
        <v>755573.86931369442</v>
      </c>
      <c r="L17" s="162">
        <f t="shared" si="6"/>
        <v>4.1020024495364474E-2</v>
      </c>
      <c r="M17" s="161">
        <v>6.7258999999999999E-2</v>
      </c>
      <c r="N17" s="162">
        <f t="shared" si="7"/>
        <v>-2.6238975504635526E-2</v>
      </c>
    </row>
    <row r="18" spans="2:14" x14ac:dyDescent="0.25">
      <c r="B18" s="456" t="s">
        <v>55</v>
      </c>
      <c r="C18" s="449">
        <v>1.27</v>
      </c>
      <c r="D18" s="450">
        <f t="shared" si="1"/>
        <v>559809.96750000003</v>
      </c>
      <c r="E18" s="451">
        <f>'Predial y Agua'!G18</f>
        <v>2366788</v>
      </c>
      <c r="F18" s="452">
        <f t="shared" si="2"/>
        <v>0.3444452394738563</v>
      </c>
      <c r="G18" s="175">
        <v>14315</v>
      </c>
      <c r="H18" s="175">
        <f t="shared" si="3"/>
        <v>4930.7336030682527</v>
      </c>
      <c r="I18" s="453">
        <f t="shared" si="4"/>
        <v>2.186606798601131E-2</v>
      </c>
      <c r="J18" s="454">
        <f t="shared" si="5"/>
        <v>5666.3556219668799</v>
      </c>
      <c r="K18" s="455">
        <f t="shared" si="0"/>
        <v>565476.32312196691</v>
      </c>
      <c r="L18" s="162">
        <f t="shared" si="6"/>
        <v>2.186606798601131E-2</v>
      </c>
      <c r="M18" s="161">
        <v>7.6290000000000004E-3</v>
      </c>
      <c r="N18" s="162">
        <f t="shared" si="7"/>
        <v>1.423706798601131E-2</v>
      </c>
    </row>
    <row r="19" spans="2:14" x14ac:dyDescent="0.25">
      <c r="B19" s="456" t="s">
        <v>56</v>
      </c>
      <c r="C19" s="449">
        <v>3.39</v>
      </c>
      <c r="D19" s="450">
        <f t="shared" si="1"/>
        <v>1494295.8975</v>
      </c>
      <c r="E19" s="451">
        <f>'Predial y Agua'!G19</f>
        <v>2337928</v>
      </c>
      <c r="F19" s="452">
        <f t="shared" si="2"/>
        <v>0.3402451634166786</v>
      </c>
      <c r="G19" s="175">
        <v>33901</v>
      </c>
      <c r="H19" s="175">
        <f t="shared" si="3"/>
        <v>11534.65128498882</v>
      </c>
      <c r="I19" s="453">
        <f t="shared" si="4"/>
        <v>5.11521184262623E-2</v>
      </c>
      <c r="J19" s="454">
        <f t="shared" si="5"/>
        <v>13255.51964832426</v>
      </c>
      <c r="K19" s="455">
        <f t="shared" si="0"/>
        <v>1507551.4171483242</v>
      </c>
      <c r="L19" s="162">
        <f t="shared" si="6"/>
        <v>5.11521184262623E-2</v>
      </c>
      <c r="M19" s="161">
        <v>5.3082999999999998E-2</v>
      </c>
      <c r="N19" s="162">
        <f t="shared" si="7"/>
        <v>-1.9308815737376986E-3</v>
      </c>
    </row>
    <row r="20" spans="2:14" x14ac:dyDescent="0.25">
      <c r="B20" s="456" t="s">
        <v>57</v>
      </c>
      <c r="C20" s="449">
        <v>2.21</v>
      </c>
      <c r="D20" s="450">
        <f t="shared" si="1"/>
        <v>974157.50249999994</v>
      </c>
      <c r="E20" s="451">
        <f>'Predial y Agua'!G20</f>
        <v>2694457</v>
      </c>
      <c r="F20" s="452">
        <f t="shared" si="2"/>
        <v>0.3921318202631619</v>
      </c>
      <c r="G20" s="175">
        <v>24743</v>
      </c>
      <c r="H20" s="175">
        <f t="shared" si="3"/>
        <v>9702.5176287714148</v>
      </c>
      <c r="I20" s="453">
        <f t="shared" si="4"/>
        <v>4.3027250544253805E-2</v>
      </c>
      <c r="J20" s="454">
        <f t="shared" si="5"/>
        <v>11150.047789807688</v>
      </c>
      <c r="K20" s="455">
        <f t="shared" si="0"/>
        <v>985307.55028980761</v>
      </c>
      <c r="L20" s="162">
        <f t="shared" si="6"/>
        <v>4.3027250544253805E-2</v>
      </c>
      <c r="M20" s="161">
        <v>4.0325E-2</v>
      </c>
      <c r="N20" s="162">
        <f t="shared" si="7"/>
        <v>2.702250544253805E-3</v>
      </c>
    </row>
    <row r="21" spans="2:14" x14ac:dyDescent="0.25">
      <c r="B21" s="456" t="s">
        <v>58</v>
      </c>
      <c r="C21" s="449">
        <v>3.95</v>
      </c>
      <c r="D21" s="450">
        <f t="shared" si="1"/>
        <v>1741141.2375</v>
      </c>
      <c r="E21" s="451">
        <f>'Predial y Agua'!G21</f>
        <v>6665469</v>
      </c>
      <c r="F21" s="452">
        <f t="shared" si="2"/>
        <v>0.97004423966597986</v>
      </c>
      <c r="G21" s="175">
        <v>43979</v>
      </c>
      <c r="H21" s="175">
        <f t="shared" si="3"/>
        <v>42661.575616270129</v>
      </c>
      <c r="I21" s="453">
        <f t="shared" si="4"/>
        <v>0.18918907162926935</v>
      </c>
      <c r="J21" s="454">
        <f t="shared" si="5"/>
        <v>49026.306893723144</v>
      </c>
      <c r="K21" s="455">
        <f t="shared" si="0"/>
        <v>1790167.5443937231</v>
      </c>
      <c r="L21" s="162">
        <f t="shared" si="6"/>
        <v>0.18918907162926935</v>
      </c>
      <c r="M21" s="161">
        <v>0.15141299999999999</v>
      </c>
      <c r="N21" s="162">
        <f t="shared" si="7"/>
        <v>3.7776071629269353E-2</v>
      </c>
    </row>
    <row r="22" spans="2:14" x14ac:dyDescent="0.25">
      <c r="B22" s="456" t="s">
        <v>59</v>
      </c>
      <c r="C22" s="449">
        <v>0.75</v>
      </c>
      <c r="D22" s="450">
        <f t="shared" si="1"/>
        <v>330596.4375</v>
      </c>
      <c r="E22" s="451">
        <f>'Predial y Agua'!G22</f>
        <v>1821386</v>
      </c>
      <c r="F22" s="452">
        <f t="shared" si="2"/>
        <v>0.26507136969780526</v>
      </c>
      <c r="G22" s="175">
        <v>7499</v>
      </c>
      <c r="H22" s="175">
        <f t="shared" si="3"/>
        <v>1987.7702013638416</v>
      </c>
      <c r="I22" s="453">
        <f t="shared" si="4"/>
        <v>8.815061178024771E-3</v>
      </c>
      <c r="J22" s="454">
        <f t="shared" si="5"/>
        <v>2284.3280052013656</v>
      </c>
      <c r="K22" s="455">
        <f t="shared" si="0"/>
        <v>332880.76550520136</v>
      </c>
      <c r="L22" s="162">
        <f t="shared" si="6"/>
        <v>8.815061178024771E-3</v>
      </c>
      <c r="M22" s="161">
        <v>7.8689999999999993E-3</v>
      </c>
      <c r="N22" s="162">
        <f t="shared" si="7"/>
        <v>9.4606117802477178E-4</v>
      </c>
    </row>
    <row r="23" spans="2:14" x14ac:dyDescent="0.25">
      <c r="B23" s="456" t="s">
        <v>60</v>
      </c>
      <c r="C23" s="449">
        <v>2.2799999999999998</v>
      </c>
      <c r="D23" s="450">
        <f t="shared" si="1"/>
        <v>1005013.1699999998</v>
      </c>
      <c r="E23" s="451">
        <f>'Predial y Agua'!G23</f>
        <v>4577159</v>
      </c>
      <c r="F23" s="452">
        <f t="shared" si="2"/>
        <v>0.6661266779554893</v>
      </c>
      <c r="G23" s="175">
        <v>23477</v>
      </c>
      <c r="H23" s="175">
        <f t="shared" si="3"/>
        <v>15638.656018361022</v>
      </c>
      <c r="I23" s="453">
        <f t="shared" si="4"/>
        <v>6.9351934871220336E-2</v>
      </c>
      <c r="J23" s="454">
        <f t="shared" si="5"/>
        <v>17971.805735865371</v>
      </c>
      <c r="K23" s="455">
        <f t="shared" si="0"/>
        <v>1022984.9757358652</v>
      </c>
      <c r="L23" s="162">
        <f t="shared" si="6"/>
        <v>6.9351934871220336E-2</v>
      </c>
      <c r="M23" s="161">
        <v>8.7175000000000002E-2</v>
      </c>
      <c r="N23" s="162">
        <f t="shared" si="7"/>
        <v>-1.7823065128779667E-2</v>
      </c>
    </row>
    <row r="24" spans="2:14" x14ac:dyDescent="0.25">
      <c r="B24" s="456" t="s">
        <v>61</v>
      </c>
      <c r="C24" s="449">
        <v>8.8800000000000008</v>
      </c>
      <c r="D24" s="450">
        <f t="shared" si="1"/>
        <v>3914261.8200000008</v>
      </c>
      <c r="E24" s="451">
        <f>'Predial y Agua'!G24</f>
        <v>16215080</v>
      </c>
      <c r="F24" s="452">
        <f t="shared" si="2"/>
        <v>2.3598256851427917</v>
      </c>
      <c r="G24" s="175">
        <v>97820</v>
      </c>
      <c r="H24" s="175">
        <f t="shared" si="3"/>
        <v>230838.14852066789</v>
      </c>
      <c r="I24" s="453">
        <f t="shared" si="4"/>
        <v>1.0236859371548632</v>
      </c>
      <c r="J24" s="454">
        <f t="shared" si="5"/>
        <v>265277.16683387128</v>
      </c>
      <c r="K24" s="455">
        <f t="shared" si="0"/>
        <v>4179538.9868338723</v>
      </c>
      <c r="L24" s="162">
        <f t="shared" si="6"/>
        <v>1.0236859371548632</v>
      </c>
      <c r="M24" s="161">
        <v>1.2821199999999999</v>
      </c>
      <c r="N24" s="162">
        <f t="shared" si="7"/>
        <v>-0.2584340628451367</v>
      </c>
    </row>
    <row r="25" spans="2:14" x14ac:dyDescent="0.25">
      <c r="B25" s="456" t="s">
        <v>62</v>
      </c>
      <c r="C25" s="449">
        <v>3.92</v>
      </c>
      <c r="D25" s="450">
        <f t="shared" si="1"/>
        <v>1727917.38</v>
      </c>
      <c r="E25" s="451">
        <f>'Predial y Agua'!G25</f>
        <v>4339926</v>
      </c>
      <c r="F25" s="452">
        <f t="shared" si="2"/>
        <v>0.63160149974092106</v>
      </c>
      <c r="G25" s="175">
        <v>39718</v>
      </c>
      <c r="H25" s="175">
        <f t="shared" si="3"/>
        <v>25085.948366709901</v>
      </c>
      <c r="I25" s="453">
        <f t="shared" si="4"/>
        <v>0.1112473511322358</v>
      </c>
      <c r="J25" s="454">
        <f t="shared" si="5"/>
        <v>28828.550881683055</v>
      </c>
      <c r="K25" s="455">
        <f t="shared" si="0"/>
        <v>1756745.930881683</v>
      </c>
      <c r="L25" s="162">
        <f t="shared" si="6"/>
        <v>0.1112473511322358</v>
      </c>
      <c r="M25" s="161">
        <v>0.39474799999999999</v>
      </c>
      <c r="N25" s="162">
        <f t="shared" si="7"/>
        <v>-0.28350064886776416</v>
      </c>
    </row>
    <row r="26" spans="2:14" x14ac:dyDescent="0.25">
      <c r="B26" s="456" t="s">
        <v>63</v>
      </c>
      <c r="C26" s="449">
        <v>35.42</v>
      </c>
      <c r="D26" s="450">
        <f t="shared" si="1"/>
        <v>15612967.755000001</v>
      </c>
      <c r="E26" s="451">
        <f>'Predial y Agua'!G26</f>
        <v>249740346</v>
      </c>
      <c r="F26" s="452">
        <f t="shared" si="2"/>
        <v>36.345407059801602</v>
      </c>
      <c r="G26" s="175">
        <v>413608</v>
      </c>
      <c r="H26" s="175">
        <f t="shared" si="3"/>
        <v>15032751.123190422</v>
      </c>
      <c r="I26" s="453">
        <f t="shared" si="4"/>
        <v>66.664959930490809</v>
      </c>
      <c r="J26" s="454">
        <f t="shared" si="5"/>
        <v>17275505.167732719</v>
      </c>
      <c r="K26" s="455">
        <f t="shared" si="0"/>
        <v>32888472.922732718</v>
      </c>
      <c r="L26" s="162">
        <f t="shared" si="6"/>
        <v>66.664959930490809</v>
      </c>
      <c r="M26" s="161">
        <v>66.428610000000006</v>
      </c>
      <c r="N26" s="162">
        <f t="shared" si="7"/>
        <v>0.23634993049080322</v>
      </c>
    </row>
    <row r="27" spans="2:14" x14ac:dyDescent="0.25">
      <c r="B27" s="456" t="s">
        <v>64</v>
      </c>
      <c r="C27" s="449">
        <v>3</v>
      </c>
      <c r="D27" s="450">
        <f t="shared" si="1"/>
        <v>1322385.75</v>
      </c>
      <c r="E27" s="451">
        <f>'Predial y Agua'!G27</f>
        <v>2607273</v>
      </c>
      <c r="F27" s="452">
        <f t="shared" si="2"/>
        <v>0.37944369029195674</v>
      </c>
      <c r="G27" s="175">
        <v>30565</v>
      </c>
      <c r="H27" s="175">
        <f t="shared" si="3"/>
        <v>11597.696393773658</v>
      </c>
      <c r="I27" s="453">
        <f t="shared" si="4"/>
        <v>5.1431701292799017E-2</v>
      </c>
      <c r="J27" s="454">
        <f t="shared" si="5"/>
        <v>13327.970531977391</v>
      </c>
      <c r="K27" s="455">
        <f t="shared" si="0"/>
        <v>1335713.7205319775</v>
      </c>
      <c r="L27" s="162">
        <f t="shared" si="6"/>
        <v>5.1431701292799017E-2</v>
      </c>
      <c r="M27" s="161">
        <v>4.3832000000000003E-2</v>
      </c>
      <c r="N27" s="162">
        <f t="shared" si="7"/>
        <v>7.5997012927990146E-3</v>
      </c>
    </row>
    <row r="28" spans="2:14" ht="15.75" thickBot="1" x14ac:dyDescent="0.3">
      <c r="B28" s="456" t="s">
        <v>65</v>
      </c>
      <c r="C28" s="457">
        <v>4.5199999999999996</v>
      </c>
      <c r="D28" s="458">
        <f t="shared" si="1"/>
        <v>1992394.5299999998</v>
      </c>
      <c r="E28" s="459">
        <f>'Predial y Agua'!G28</f>
        <v>37799533</v>
      </c>
      <c r="F28" s="460">
        <f t="shared" si="2"/>
        <v>5.5010711547400666</v>
      </c>
      <c r="G28" s="194">
        <v>57418</v>
      </c>
      <c r="H28" s="194">
        <f t="shared" si="3"/>
        <v>315860.50356286514</v>
      </c>
      <c r="I28" s="461">
        <f t="shared" si="4"/>
        <v>1.4007301551849369</v>
      </c>
      <c r="J28" s="462">
        <f t="shared" si="5"/>
        <v>362984.10828907968</v>
      </c>
      <c r="K28" s="463">
        <f t="shared" si="0"/>
        <v>2355378.6382890795</v>
      </c>
      <c r="L28" s="162">
        <f t="shared" si="6"/>
        <v>1.4007301551849369</v>
      </c>
      <c r="M28" s="161">
        <v>1.431076</v>
      </c>
      <c r="N28" s="162">
        <f t="shared" si="7"/>
        <v>-3.0345844815063083E-2</v>
      </c>
    </row>
    <row r="29" spans="2:14" ht="15.75" thickBot="1" x14ac:dyDescent="0.3">
      <c r="B29" s="464" t="s">
        <v>66</v>
      </c>
      <c r="C29" s="465">
        <f t="shared" ref="C29:H29" si="8">SUM(C9:C28)</f>
        <v>100.00000000000001</v>
      </c>
      <c r="D29" s="466">
        <f>Datos!K35</f>
        <v>44079525</v>
      </c>
      <c r="E29" s="467">
        <f t="shared" si="8"/>
        <v>687130414</v>
      </c>
      <c r="F29" s="468">
        <f t="shared" si="8"/>
        <v>99.999999999999986</v>
      </c>
      <c r="G29" s="469">
        <f t="shared" si="8"/>
        <v>1181050</v>
      </c>
      <c r="H29" s="138">
        <f t="shared" si="8"/>
        <v>22549703.980718713</v>
      </c>
      <c r="I29" s="385">
        <f t="shared" si="4"/>
        <v>100</v>
      </c>
      <c r="J29" s="470">
        <f>Datos!K36</f>
        <v>25913921.174999997</v>
      </c>
      <c r="K29" s="471">
        <f>SUM(K9:K28)</f>
        <v>69993446.174999982</v>
      </c>
      <c r="L29" s="163">
        <f t="shared" ref="L29:N29" si="9">SUM(L9:L28)</f>
        <v>100</v>
      </c>
      <c r="M29" s="163">
        <f t="shared" si="9"/>
        <v>99.999999000000003</v>
      </c>
      <c r="N29" s="163">
        <f t="shared" si="9"/>
        <v>1.0000000024643074E-6</v>
      </c>
    </row>
    <row r="30" spans="2:14" x14ac:dyDescent="0.25">
      <c r="B30" s="869" t="s">
        <v>300</v>
      </c>
      <c r="C30" s="869"/>
      <c r="D30" s="869"/>
      <c r="E30" s="869"/>
      <c r="F30" s="869"/>
      <c r="G30" s="869"/>
      <c r="H30" s="105"/>
      <c r="I30" s="6"/>
    </row>
    <row r="31" spans="2:14" x14ac:dyDescent="0.25">
      <c r="B31" s="936" t="s">
        <v>299</v>
      </c>
      <c r="C31" s="936"/>
      <c r="D31" s="936"/>
      <c r="E31" s="936"/>
      <c r="F31" s="936"/>
      <c r="G31" s="936"/>
      <c r="H31" s="936"/>
      <c r="I31" s="936"/>
      <c r="J31" s="936"/>
      <c r="K31" s="936"/>
    </row>
    <row r="32" spans="2:14" ht="41.25" customHeight="1" x14ac:dyDescent="0.25">
      <c r="B32" s="870" t="s">
        <v>302</v>
      </c>
      <c r="C32" s="870"/>
      <c r="D32" s="870"/>
      <c r="E32" s="870"/>
      <c r="F32" s="870"/>
      <c r="G32" s="870"/>
      <c r="H32" s="870"/>
      <c r="I32" s="870"/>
      <c r="J32" s="870"/>
      <c r="K32" s="870"/>
    </row>
    <row r="33" spans="2:20" ht="15" customHeight="1" x14ac:dyDescent="0.25">
      <c r="B33" s="820" t="s">
        <v>303</v>
      </c>
      <c r="C33" s="820"/>
      <c r="D33" s="820"/>
      <c r="E33" s="820"/>
      <c r="F33" s="820"/>
      <c r="G33" s="820"/>
      <c r="H33" s="820"/>
      <c r="I33" s="820"/>
      <c r="J33" s="820"/>
      <c r="K33" s="820"/>
      <c r="L33" s="587"/>
      <c r="M33" s="587"/>
      <c r="N33" s="587"/>
      <c r="O33" s="587"/>
      <c r="P33" s="587"/>
      <c r="Q33" s="587"/>
      <c r="R33" s="587"/>
      <c r="S33" s="587"/>
      <c r="T33" s="587"/>
    </row>
    <row r="34" spans="2:20" ht="23.25" customHeight="1" x14ac:dyDescent="0.25">
      <c r="B34" s="820" t="s">
        <v>304</v>
      </c>
      <c r="C34" s="820"/>
      <c r="D34" s="820"/>
      <c r="E34" s="820"/>
      <c r="F34" s="820"/>
      <c r="G34" s="820"/>
      <c r="H34" s="820"/>
      <c r="I34" s="820"/>
      <c r="J34" s="820"/>
      <c r="K34" s="820"/>
      <c r="L34" s="587"/>
      <c r="M34" s="587"/>
      <c r="N34" s="587"/>
      <c r="O34" s="587"/>
      <c r="P34" s="587"/>
      <c r="Q34" s="587"/>
      <c r="R34" s="587"/>
      <c r="S34" s="587"/>
      <c r="T34" s="587"/>
    </row>
    <row r="35" spans="2:20" ht="24.75" customHeight="1" x14ac:dyDescent="0.25">
      <c r="B35" s="870" t="s">
        <v>373</v>
      </c>
      <c r="C35" s="870"/>
      <c r="D35" s="870"/>
      <c r="E35" s="870"/>
      <c r="F35" s="870"/>
      <c r="G35" s="870"/>
      <c r="H35" s="870"/>
      <c r="I35" s="870"/>
      <c r="J35" s="870"/>
      <c r="K35" s="870"/>
    </row>
    <row r="36" spans="2:20" x14ac:dyDescent="0.25">
      <c r="F36" s="935"/>
      <c r="G36" s="935"/>
      <c r="H36" s="935"/>
      <c r="I36" s="935"/>
      <c r="J36" s="935"/>
      <c r="K36" s="935"/>
    </row>
  </sheetData>
  <mergeCells count="20">
    <mergeCell ref="B33:K33"/>
    <mergeCell ref="B34:K34"/>
    <mergeCell ref="B2:K2"/>
    <mergeCell ref="B5:B8"/>
    <mergeCell ref="F36:K36"/>
    <mergeCell ref="B30:G30"/>
    <mergeCell ref="B35:K35"/>
    <mergeCell ref="B31:K31"/>
    <mergeCell ref="B32:K32"/>
    <mergeCell ref="B1:K1"/>
    <mergeCell ref="E5:E7"/>
    <mergeCell ref="G5:G7"/>
    <mergeCell ref="H5:H7"/>
    <mergeCell ref="I5:I7"/>
    <mergeCell ref="J5:J7"/>
    <mergeCell ref="K5:K7"/>
    <mergeCell ref="F5:F7"/>
    <mergeCell ref="D5:D7"/>
    <mergeCell ref="C5:C7"/>
    <mergeCell ref="B3:K3"/>
  </mergeCells>
  <pageMargins left="0.70866141732283472" right="0.36" top="0.74803149606299213" bottom="0.74803149606299213" header="0.31496062992125984" footer="0.31496062992125984"/>
  <pageSetup scale="88" orientation="landscape" r:id="rId1"/>
  <ignoredErrors>
    <ignoredError sqref="C8:G8 J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2:T32"/>
  <sheetViews>
    <sheetView workbookViewId="0">
      <selection activeCell="B2" sqref="B2:J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2" customWidth="1"/>
    <col min="14" max="14" width="15.85546875" customWidth="1"/>
    <col min="15" max="15" width="14.7109375" customWidth="1"/>
    <col min="16" max="16" width="15.140625" customWidth="1"/>
  </cols>
  <sheetData>
    <row r="2" spans="2:20" x14ac:dyDescent="0.25">
      <c r="B2" s="860" t="s">
        <v>381</v>
      </c>
      <c r="C2" s="860"/>
      <c r="D2" s="860"/>
      <c r="E2" s="860"/>
      <c r="F2" s="860"/>
      <c r="G2" s="860"/>
      <c r="H2" s="860"/>
      <c r="I2" s="860"/>
      <c r="J2" s="860"/>
      <c r="K2" s="11"/>
      <c r="N2" s="191"/>
    </row>
    <row r="3" spans="2:20" x14ac:dyDescent="0.25">
      <c r="B3" s="941" t="s">
        <v>281</v>
      </c>
      <c r="C3" s="941"/>
      <c r="D3" s="941"/>
      <c r="E3" s="941"/>
      <c r="F3" s="941"/>
      <c r="G3" s="941"/>
      <c r="H3" s="941"/>
      <c r="I3" s="941"/>
      <c r="J3" s="941"/>
      <c r="K3" s="11"/>
      <c r="L3" s="79"/>
      <c r="M3" s="79"/>
    </row>
    <row r="4" spans="2:20" ht="15.75" thickBot="1" x14ac:dyDescent="0.3">
      <c r="K4" s="192"/>
      <c r="L4" s="192"/>
      <c r="M4" s="192"/>
      <c r="N4" s="192"/>
    </row>
    <row r="5" spans="2:20" ht="15" customHeight="1" x14ac:dyDescent="0.25">
      <c r="B5" s="812" t="s">
        <v>85</v>
      </c>
      <c r="C5" s="365" t="s">
        <v>141</v>
      </c>
      <c r="D5" s="939" t="s">
        <v>243</v>
      </c>
      <c r="E5" s="472" t="s">
        <v>142</v>
      </c>
      <c r="F5" s="939" t="s">
        <v>244</v>
      </c>
      <c r="G5" s="472" t="s">
        <v>30</v>
      </c>
      <c r="H5" s="472" t="s">
        <v>30</v>
      </c>
      <c r="I5" s="939" t="s">
        <v>245</v>
      </c>
      <c r="J5" s="942" t="s">
        <v>246</v>
      </c>
      <c r="K5" s="938"/>
      <c r="L5" s="192"/>
      <c r="M5" s="192"/>
      <c r="N5" s="192"/>
      <c r="O5" s="192"/>
      <c r="P5" s="151"/>
      <c r="Q5" s="151"/>
      <c r="R5" s="159"/>
      <c r="S5" s="159"/>
      <c r="T5" s="159"/>
    </row>
    <row r="6" spans="2:20" x14ac:dyDescent="0.25">
      <c r="B6" s="813"/>
      <c r="C6" s="366" t="s">
        <v>34</v>
      </c>
      <c r="D6" s="940"/>
      <c r="E6" s="364" t="s">
        <v>34</v>
      </c>
      <c r="F6" s="940"/>
      <c r="G6" s="364" t="s">
        <v>34</v>
      </c>
      <c r="H6" s="364" t="s">
        <v>144</v>
      </c>
      <c r="I6" s="940"/>
      <c r="J6" s="943"/>
      <c r="K6" s="938"/>
      <c r="L6" s="192"/>
      <c r="M6" s="192"/>
      <c r="N6" s="192"/>
      <c r="O6" s="192"/>
      <c r="P6" s="151"/>
      <c r="Q6" s="151"/>
      <c r="R6" s="159"/>
      <c r="S6" s="159"/>
      <c r="T6" s="159"/>
    </row>
    <row r="7" spans="2:20" x14ac:dyDescent="0.25">
      <c r="B7" s="813"/>
      <c r="C7" s="491">
        <v>0.6</v>
      </c>
      <c r="D7" s="473" t="s">
        <v>45</v>
      </c>
      <c r="E7" s="473">
        <v>0.3</v>
      </c>
      <c r="F7" s="473" t="s">
        <v>45</v>
      </c>
      <c r="G7" s="473">
        <v>0.1</v>
      </c>
      <c r="H7" s="473"/>
      <c r="I7" s="473" t="s">
        <v>45</v>
      </c>
      <c r="J7" s="943"/>
      <c r="K7" s="192"/>
      <c r="L7" s="192"/>
      <c r="M7" s="192"/>
      <c r="N7" s="192"/>
      <c r="O7" s="192"/>
      <c r="P7" s="151"/>
      <c r="Q7" s="151"/>
      <c r="R7" s="159"/>
      <c r="S7" s="159"/>
      <c r="T7" s="159"/>
    </row>
    <row r="8" spans="2:20" ht="15.75" thickBot="1" x14ac:dyDescent="0.3">
      <c r="B8" s="814"/>
      <c r="C8" s="593" t="s">
        <v>72</v>
      </c>
      <c r="D8" s="594" t="s">
        <v>99</v>
      </c>
      <c r="E8" s="594" t="s">
        <v>73</v>
      </c>
      <c r="F8" s="594" t="s">
        <v>100</v>
      </c>
      <c r="G8" s="594" t="s">
        <v>75</v>
      </c>
      <c r="H8" s="594" t="s">
        <v>309</v>
      </c>
      <c r="I8" s="594" t="s">
        <v>76</v>
      </c>
      <c r="J8" s="595" t="s">
        <v>310</v>
      </c>
      <c r="K8" s="165"/>
      <c r="L8" s="165"/>
      <c r="M8" s="165"/>
      <c r="N8" s="165"/>
      <c r="O8" s="192"/>
      <c r="P8" s="165"/>
      <c r="Q8" s="165"/>
      <c r="R8" s="159"/>
      <c r="S8" s="159"/>
      <c r="T8" s="159"/>
    </row>
    <row r="9" spans="2:20" ht="22.5" customHeight="1" x14ac:dyDescent="0.25">
      <c r="B9" s="154" t="s">
        <v>46</v>
      </c>
      <c r="C9" s="492">
        <f>FGP!E8</f>
        <v>3.1589687142796663</v>
      </c>
      <c r="D9" s="437">
        <f t="shared" ref="D9:D28" si="0">C9*$D$29/100</f>
        <v>45452.57336636891</v>
      </c>
      <c r="E9" s="474">
        <f>FGP!K8</f>
        <v>4.2250308776269785</v>
      </c>
      <c r="F9" s="437">
        <f t="shared" ref="F9:F28" si="1">E9*$F$29/100</f>
        <v>30395.762558905943</v>
      </c>
      <c r="G9" s="474">
        <f>FGP!Q8</f>
        <v>5.0078061032905623</v>
      </c>
      <c r="H9" s="474">
        <f>G9*10%</f>
        <v>0.5007806103290563</v>
      </c>
      <c r="I9" s="437">
        <f>G9*$I$29/100</f>
        <v>12009.070834069527</v>
      </c>
      <c r="J9" s="475">
        <f t="shared" ref="J9:J28" si="2">D9+F9+I9</f>
        <v>87857.406759344376</v>
      </c>
      <c r="K9" s="148"/>
      <c r="L9" s="167"/>
      <c r="M9" s="124"/>
      <c r="N9" s="124"/>
      <c r="O9" s="167"/>
      <c r="P9" s="168"/>
      <c r="Q9" s="169"/>
      <c r="R9" s="170"/>
      <c r="S9" s="159"/>
      <c r="T9" s="159"/>
    </row>
    <row r="10" spans="2:20" ht="22.5" customHeight="1" x14ac:dyDescent="0.25">
      <c r="B10" s="154" t="s">
        <v>47</v>
      </c>
      <c r="C10" s="492">
        <f>FGP!E9</f>
        <v>1.3507472164599297</v>
      </c>
      <c r="D10" s="437">
        <f t="shared" si="0"/>
        <v>19435.120290377206</v>
      </c>
      <c r="E10" s="474">
        <f>FGP!K9</f>
        <v>4.4181751925055499</v>
      </c>
      <c r="F10" s="437">
        <f t="shared" si="1"/>
        <v>31785.283465306744</v>
      </c>
      <c r="G10" s="474">
        <f>FGP!Q9</f>
        <v>7.4156728904909102</v>
      </c>
      <c r="H10" s="474">
        <f t="shared" ref="H10:H29" si="3">G10*10%</f>
        <v>0.74156728904909108</v>
      </c>
      <c r="I10" s="437">
        <f t="shared" ref="I10:I28" si="4">G10*$I$29/100</f>
        <v>17783.304542417762</v>
      </c>
      <c r="J10" s="475">
        <f t="shared" si="2"/>
        <v>69003.708298101701</v>
      </c>
      <c r="K10" s="148"/>
      <c r="L10" s="167"/>
      <c r="M10" s="209"/>
      <c r="N10" s="124"/>
      <c r="O10" s="167"/>
      <c r="P10" s="168"/>
      <c r="Q10" s="169"/>
      <c r="R10" s="170"/>
      <c r="S10" s="159"/>
      <c r="T10" s="159"/>
    </row>
    <row r="11" spans="2:20" ht="22.5" customHeight="1" x14ac:dyDescent="0.25">
      <c r="B11" s="154" t="s">
        <v>48</v>
      </c>
      <c r="C11" s="492">
        <f>FGP!E10</f>
        <v>1.0034291520257399</v>
      </c>
      <c r="D11" s="437">
        <f t="shared" si="0"/>
        <v>14437.761584733922</v>
      </c>
      <c r="E11" s="474">
        <f>FGP!K10</f>
        <v>12.497325154587893</v>
      </c>
      <c r="F11" s="437">
        <f t="shared" si="1"/>
        <v>89908.390973381625</v>
      </c>
      <c r="G11" s="474">
        <f>FGP!Q10</f>
        <v>3.6401319096022822</v>
      </c>
      <c r="H11" s="474">
        <f t="shared" si="3"/>
        <v>0.36401319096022822</v>
      </c>
      <c r="I11" s="437">
        <f t="shared" si="4"/>
        <v>8729.2920384929239</v>
      </c>
      <c r="J11" s="475">
        <f t="shared" si="2"/>
        <v>113075.44459660846</v>
      </c>
      <c r="K11" s="148"/>
      <c r="L11" s="167"/>
      <c r="M11" s="124"/>
      <c r="N11" s="124"/>
      <c r="O11" s="167"/>
      <c r="P11" s="168"/>
      <c r="Q11" s="169"/>
      <c r="R11" s="170"/>
      <c r="S11" s="159"/>
      <c r="T11" s="159"/>
    </row>
    <row r="12" spans="2:20" ht="22.5" customHeight="1" x14ac:dyDescent="0.25">
      <c r="B12" s="154" t="s">
        <v>49</v>
      </c>
      <c r="C12" s="492">
        <f>FGP!E11</f>
        <v>12.721730663392744</v>
      </c>
      <c r="D12" s="437">
        <f t="shared" si="0"/>
        <v>183045.62299436942</v>
      </c>
      <c r="E12" s="474">
        <f>FGP!K11</f>
        <v>4.4317326908663102</v>
      </c>
      <c r="F12" s="437">
        <f t="shared" si="1"/>
        <v>31882.818965756833</v>
      </c>
      <c r="G12" s="474">
        <f>FGP!Q11</f>
        <v>1.7672568418910855</v>
      </c>
      <c r="H12" s="474">
        <f t="shared" si="3"/>
        <v>0.17672568418910856</v>
      </c>
      <c r="I12" s="437">
        <f t="shared" si="4"/>
        <v>4238.006056647966</v>
      </c>
      <c r="J12" s="475">
        <f t="shared" si="2"/>
        <v>219166.4480167742</v>
      </c>
      <c r="K12" s="148"/>
      <c r="L12" s="167"/>
      <c r="M12" s="124"/>
      <c r="N12" s="124"/>
      <c r="O12" s="167"/>
      <c r="P12" s="168"/>
      <c r="Q12" s="169"/>
      <c r="R12" s="170"/>
      <c r="S12" s="159"/>
      <c r="T12" s="159"/>
    </row>
    <row r="13" spans="2:20" ht="22.5" customHeight="1" x14ac:dyDescent="0.25">
      <c r="B13" s="154" t="s">
        <v>50</v>
      </c>
      <c r="C13" s="492">
        <f>FGP!E12</f>
        <v>6.3943101477498834</v>
      </c>
      <c r="D13" s="437">
        <f t="shared" si="0"/>
        <v>92004.029607552584</v>
      </c>
      <c r="E13" s="474">
        <f>FGP!K12</f>
        <v>4.160945633060944</v>
      </c>
      <c r="F13" s="437">
        <f t="shared" si="1"/>
        <v>29934.719803532596</v>
      </c>
      <c r="G13" s="474">
        <f>FGP!Q12</f>
        <v>3.1149553477091372</v>
      </c>
      <c r="H13" s="474">
        <f t="shared" si="3"/>
        <v>0.31149553477091374</v>
      </c>
      <c r="I13" s="437">
        <f t="shared" si="4"/>
        <v>7469.8817494196883</v>
      </c>
      <c r="J13" s="475">
        <f t="shared" si="2"/>
        <v>129408.63116050487</v>
      </c>
      <c r="K13" s="148"/>
      <c r="L13" s="167"/>
      <c r="M13" s="124"/>
      <c r="N13" s="124"/>
      <c r="O13" s="167"/>
      <c r="P13" s="168"/>
      <c r="Q13" s="169"/>
      <c r="R13" s="170"/>
      <c r="S13" s="159"/>
      <c r="T13" s="159"/>
    </row>
    <row r="14" spans="2:20" ht="22.5" customHeight="1" x14ac:dyDescent="0.25">
      <c r="B14" s="154" t="s">
        <v>51</v>
      </c>
      <c r="C14" s="492">
        <f>FGP!E13</f>
        <v>3.5996782524025233</v>
      </c>
      <c r="D14" s="437">
        <f t="shared" si="0"/>
        <v>51793.68795995089</v>
      </c>
      <c r="E14" s="474">
        <f>FGP!K13</f>
        <v>3.2083097863507741</v>
      </c>
      <c r="F14" s="437">
        <f t="shared" si="1"/>
        <v>23081.25675429494</v>
      </c>
      <c r="G14" s="474">
        <f>FGP!Q13</f>
        <v>5.0729087149329999</v>
      </c>
      <c r="H14" s="474">
        <f t="shared" si="3"/>
        <v>0.50729087149329999</v>
      </c>
      <c r="I14" s="437">
        <f t="shared" si="4"/>
        <v>12165.19147024656</v>
      </c>
      <c r="J14" s="475">
        <f t="shared" si="2"/>
        <v>87040.136184492381</v>
      </c>
      <c r="K14" s="148"/>
      <c r="L14" s="167"/>
      <c r="M14" s="124"/>
      <c r="N14" s="124"/>
      <c r="O14" s="167"/>
      <c r="P14" s="168"/>
      <c r="Q14" s="169"/>
      <c r="R14" s="170"/>
      <c r="S14" s="159"/>
      <c r="T14" s="159"/>
    </row>
    <row r="15" spans="2:20" ht="22.5" customHeight="1" x14ac:dyDescent="0.25">
      <c r="B15" s="154" t="s">
        <v>52</v>
      </c>
      <c r="C15" s="492">
        <f>FGP!E14</f>
        <v>1.0680326827822699</v>
      </c>
      <c r="D15" s="437">
        <f t="shared" si="0"/>
        <v>15367.304415647091</v>
      </c>
      <c r="E15" s="474">
        <f>FGP!K14</f>
        <v>9.9779785583310847</v>
      </c>
      <c r="F15" s="437">
        <f t="shared" si="1"/>
        <v>71783.680607614981</v>
      </c>
      <c r="G15" s="474">
        <f>FGP!Q14</f>
        <v>4.3583415548274083</v>
      </c>
      <c r="H15" s="474">
        <f t="shared" si="3"/>
        <v>0.43583415548274085</v>
      </c>
      <c r="I15" s="437">
        <f t="shared" si="4"/>
        <v>10451.609221970353</v>
      </c>
      <c r="J15" s="475">
        <f t="shared" si="2"/>
        <v>97602.594245232423</v>
      </c>
      <c r="K15" s="148"/>
      <c r="L15" s="167"/>
      <c r="M15" s="124"/>
      <c r="N15" s="124"/>
      <c r="O15" s="167"/>
      <c r="P15" s="168"/>
      <c r="Q15" s="169"/>
      <c r="R15" s="170"/>
      <c r="S15" s="159"/>
      <c r="T15" s="159"/>
    </row>
    <row r="16" spans="2:20" ht="22.5" customHeight="1" x14ac:dyDescent="0.25">
      <c r="B16" s="154" t="s">
        <v>53</v>
      </c>
      <c r="C16" s="492">
        <f>FGP!E15</f>
        <v>2.4906650861521529</v>
      </c>
      <c r="D16" s="437">
        <f t="shared" si="0"/>
        <v>35836.739074890989</v>
      </c>
      <c r="E16" s="474">
        <f>FGP!K15</f>
        <v>3.6698605401833797</v>
      </c>
      <c r="F16" s="437">
        <f t="shared" si="1"/>
        <v>26401.750149188076</v>
      </c>
      <c r="G16" s="474">
        <f>FGP!Q15</f>
        <v>6.1028756370273953</v>
      </c>
      <c r="H16" s="474">
        <f t="shared" si="3"/>
        <v>0.61028756370273962</v>
      </c>
      <c r="I16" s="437">
        <f t="shared" si="4"/>
        <v>14635.124504605197</v>
      </c>
      <c r="J16" s="475">
        <f t="shared" si="2"/>
        <v>76873.613728684257</v>
      </c>
      <c r="K16" s="148"/>
      <c r="L16" s="167"/>
      <c r="M16" s="124"/>
      <c r="N16" s="124"/>
      <c r="O16" s="167"/>
      <c r="P16" s="168"/>
      <c r="Q16" s="169"/>
      <c r="R16" s="170"/>
      <c r="S16" s="159"/>
      <c r="T16" s="159"/>
    </row>
    <row r="17" spans="2:20" ht="22.5" customHeight="1" x14ac:dyDescent="0.25">
      <c r="B17" s="154" t="s">
        <v>54</v>
      </c>
      <c r="C17" s="492">
        <f>FGP!E16</f>
        <v>1.5731764108208799</v>
      </c>
      <c r="D17" s="437">
        <f t="shared" si="0"/>
        <v>22635.525292747981</v>
      </c>
      <c r="E17" s="474">
        <f>FGP!K16</f>
        <v>5.3388578162098188</v>
      </c>
      <c r="F17" s="437">
        <f t="shared" si="1"/>
        <v>38408.868294098203</v>
      </c>
      <c r="G17" s="474">
        <f>FGP!Q16</f>
        <v>6.2222546126311373</v>
      </c>
      <c r="H17" s="474">
        <f t="shared" si="3"/>
        <v>0.62222546126311373</v>
      </c>
      <c r="I17" s="437">
        <f t="shared" si="4"/>
        <v>14921.403674476007</v>
      </c>
      <c r="J17" s="475">
        <f t="shared" si="2"/>
        <v>75965.797261322194</v>
      </c>
      <c r="K17" s="148"/>
      <c r="L17" s="167"/>
      <c r="M17" s="124"/>
      <c r="N17" s="124"/>
      <c r="O17" s="167"/>
      <c r="P17" s="168"/>
      <c r="Q17" s="169"/>
      <c r="R17" s="170"/>
      <c r="S17" s="159"/>
      <c r="T17" s="159"/>
    </row>
    <row r="18" spans="2:20" ht="22.5" customHeight="1" x14ac:dyDescent="0.25">
      <c r="B18" s="154" t="s">
        <v>55</v>
      </c>
      <c r="C18" s="492">
        <f>FGP!E17</f>
        <v>1.212057067863342</v>
      </c>
      <c r="D18" s="437">
        <f t="shared" si="0"/>
        <v>17439.58797447187</v>
      </c>
      <c r="E18" s="474">
        <f>FGP!K17</f>
        <v>4.3657304127334173</v>
      </c>
      <c r="F18" s="437">
        <f t="shared" si="1"/>
        <v>31407.984666888686</v>
      </c>
      <c r="G18" s="474">
        <f>FGP!Q17</f>
        <v>7.7758983513831499</v>
      </c>
      <c r="H18" s="474">
        <f t="shared" si="3"/>
        <v>0.77758983513831503</v>
      </c>
      <c r="I18" s="437">
        <f t="shared" si="4"/>
        <v>18647.150503475979</v>
      </c>
      <c r="J18" s="475">
        <f t="shared" si="2"/>
        <v>67494.723144836535</v>
      </c>
      <c r="K18" s="148"/>
      <c r="L18" s="167"/>
      <c r="M18" s="124"/>
      <c r="N18" s="124"/>
      <c r="O18" s="167"/>
      <c r="P18" s="168"/>
      <c r="Q18" s="169"/>
      <c r="R18" s="170"/>
      <c r="S18" s="159"/>
      <c r="T18" s="159"/>
    </row>
    <row r="19" spans="2:20" ht="22.5" customHeight="1" x14ac:dyDescent="0.25">
      <c r="B19" s="154" t="s">
        <v>56</v>
      </c>
      <c r="C19" s="492">
        <f>FGP!E18</f>
        <v>2.8704119215951907</v>
      </c>
      <c r="D19" s="437">
        <f t="shared" si="0"/>
        <v>41300.696606536556</v>
      </c>
      <c r="E19" s="474">
        <f>FGP!K18</f>
        <v>5.3935803675282523</v>
      </c>
      <c r="F19" s="437">
        <f t="shared" si="1"/>
        <v>38802.553861060704</v>
      </c>
      <c r="G19" s="474">
        <f>FGP!Q18</f>
        <v>4.7418020786144206</v>
      </c>
      <c r="H19" s="474">
        <f t="shared" si="3"/>
        <v>0.4741802078614421</v>
      </c>
      <c r="I19" s="437">
        <f t="shared" si="4"/>
        <v>11371.174496113405</v>
      </c>
      <c r="J19" s="475">
        <f t="shared" si="2"/>
        <v>91474.42496371067</v>
      </c>
      <c r="K19" s="148"/>
      <c r="L19" s="167"/>
      <c r="M19" s="124"/>
      <c r="N19" s="124"/>
      <c r="O19" s="167"/>
      <c r="P19" s="168"/>
      <c r="Q19" s="169"/>
      <c r="R19" s="170"/>
      <c r="S19" s="159"/>
      <c r="T19" s="159"/>
    </row>
    <row r="20" spans="2:20" ht="22.5" customHeight="1" x14ac:dyDescent="0.25">
      <c r="B20" s="154" t="s">
        <v>57</v>
      </c>
      <c r="C20" s="492">
        <f>FGP!E19</f>
        <v>2.0950002116760511</v>
      </c>
      <c r="D20" s="437">
        <f t="shared" si="0"/>
        <v>30143.746088184245</v>
      </c>
      <c r="E20" s="474">
        <f>FGP!K19</f>
        <v>3.8982193047755054</v>
      </c>
      <c r="F20" s="437">
        <f t="shared" si="1"/>
        <v>28044.611228273465</v>
      </c>
      <c r="G20" s="474">
        <f>FGP!Q19</f>
        <v>6.5276590900357645</v>
      </c>
      <c r="H20" s="474">
        <f t="shared" si="3"/>
        <v>0.65276590900357645</v>
      </c>
      <c r="I20" s="437">
        <f t="shared" si="4"/>
        <v>15653.785065956839</v>
      </c>
      <c r="J20" s="475">
        <f t="shared" si="2"/>
        <v>73842.142382414546</v>
      </c>
      <c r="K20" s="148"/>
      <c r="L20" s="167"/>
      <c r="M20" s="124"/>
      <c r="N20" s="124"/>
      <c r="O20" s="167"/>
      <c r="P20" s="168"/>
      <c r="Q20" s="169"/>
      <c r="R20" s="170"/>
      <c r="S20" s="159"/>
      <c r="T20" s="159"/>
    </row>
    <row r="21" spans="2:20" ht="22.5" customHeight="1" x14ac:dyDescent="0.25">
      <c r="B21" s="154" t="s">
        <v>58</v>
      </c>
      <c r="C21" s="492">
        <f>FGP!E20</f>
        <v>3.7237204182718768</v>
      </c>
      <c r="D21" s="437">
        <f t="shared" si="0"/>
        <v>53578.45892625206</v>
      </c>
      <c r="E21" s="474">
        <f>FGP!K20</f>
        <v>4.2812802377187422</v>
      </c>
      <c r="F21" s="437">
        <f t="shared" si="1"/>
        <v>30800.432309958731</v>
      </c>
      <c r="G21" s="474">
        <f>FGP!Q20</f>
        <v>4.5015258438003798</v>
      </c>
      <c r="H21" s="474">
        <f t="shared" si="3"/>
        <v>0.45015258438003802</v>
      </c>
      <c r="I21" s="437">
        <f t="shared" si="4"/>
        <v>10794.975205623838</v>
      </c>
      <c r="J21" s="475">
        <f t="shared" si="2"/>
        <v>95173.866441834631</v>
      </c>
      <c r="K21" s="148"/>
      <c r="L21" s="167"/>
      <c r="M21" s="124"/>
      <c r="N21" s="124"/>
      <c r="O21" s="167"/>
      <c r="P21" s="168"/>
      <c r="Q21" s="169"/>
      <c r="R21" s="170"/>
      <c r="S21" s="159"/>
      <c r="T21" s="159"/>
    </row>
    <row r="22" spans="2:20" ht="22.5" customHeight="1" x14ac:dyDescent="0.25">
      <c r="B22" s="154" t="s">
        <v>59</v>
      </c>
      <c r="C22" s="492">
        <f>FGP!E21</f>
        <v>0.63494348249439059</v>
      </c>
      <c r="D22" s="437">
        <f t="shared" si="0"/>
        <v>9135.8344548071636</v>
      </c>
      <c r="E22" s="474">
        <f>FGP!K21</f>
        <v>3.7400396107266571</v>
      </c>
      <c r="F22" s="437">
        <f t="shared" si="1"/>
        <v>26906.633172915532</v>
      </c>
      <c r="G22" s="474">
        <f>FGP!Q21</f>
        <v>10.5385059506544</v>
      </c>
      <c r="H22" s="474">
        <f t="shared" si="3"/>
        <v>1.05385059506544</v>
      </c>
      <c r="I22" s="437">
        <f t="shared" si="4"/>
        <v>25272.077599712287</v>
      </c>
      <c r="J22" s="475">
        <f t="shared" si="2"/>
        <v>61314.545227434981</v>
      </c>
      <c r="K22" s="148"/>
      <c r="L22" s="167"/>
      <c r="M22" s="124"/>
      <c r="N22" s="124"/>
      <c r="O22" s="167"/>
      <c r="P22" s="168"/>
      <c r="Q22" s="169"/>
      <c r="R22" s="170"/>
      <c r="S22" s="159"/>
      <c r="T22" s="159"/>
    </row>
    <row r="23" spans="2:20" ht="22.5" customHeight="1" x14ac:dyDescent="0.25">
      <c r="B23" s="154" t="s">
        <v>60</v>
      </c>
      <c r="C23" s="492">
        <f>FGP!E22</f>
        <v>1.9878074594640365</v>
      </c>
      <c r="D23" s="437">
        <f t="shared" si="0"/>
        <v>28601.411587612718</v>
      </c>
      <c r="E23" s="474">
        <f>FGP!K22</f>
        <v>3.9545894760560363</v>
      </c>
      <c r="F23" s="437">
        <f t="shared" si="1"/>
        <v>28450.150120479204</v>
      </c>
      <c r="G23" s="474">
        <f>FGP!Q22</f>
        <v>6.6577276449410565</v>
      </c>
      <c r="H23" s="474">
        <f t="shared" si="3"/>
        <v>0.66577276449410572</v>
      </c>
      <c r="I23" s="437">
        <f t="shared" si="4"/>
        <v>15965.698597935712</v>
      </c>
      <c r="J23" s="475">
        <f t="shared" si="2"/>
        <v>73017.260306027631</v>
      </c>
      <c r="K23" s="148"/>
      <c r="L23" s="167"/>
      <c r="M23" s="124"/>
      <c r="N23" s="124"/>
      <c r="O23" s="167"/>
      <c r="P23" s="168"/>
      <c r="Q23" s="169"/>
      <c r="R23" s="170"/>
      <c r="S23" s="159"/>
      <c r="T23" s="159"/>
    </row>
    <row r="24" spans="2:20" ht="22.5" customHeight="1" x14ac:dyDescent="0.25">
      <c r="B24" s="154" t="s">
        <v>61</v>
      </c>
      <c r="C24" s="492">
        <f>FGP!E23</f>
        <v>8.2824605224164927</v>
      </c>
      <c r="D24" s="437">
        <f t="shared" si="0"/>
        <v>119171.53305363869</v>
      </c>
      <c r="E24" s="474">
        <f>FGP!K23</f>
        <v>4.1105991141026745</v>
      </c>
      <c r="F24" s="437">
        <f t="shared" si="1"/>
        <v>29572.516335617936</v>
      </c>
      <c r="G24" s="474">
        <f>FGP!Q23</f>
        <v>2.5536064207652163</v>
      </c>
      <c r="H24" s="474">
        <f t="shared" si="3"/>
        <v>0.25536064207652165</v>
      </c>
      <c r="I24" s="437">
        <f t="shared" si="4"/>
        <v>6123.7275878460487</v>
      </c>
      <c r="J24" s="475">
        <f t="shared" si="2"/>
        <v>154867.77697710268</v>
      </c>
      <c r="K24" s="148"/>
      <c r="L24" s="167"/>
      <c r="M24" s="124"/>
      <c r="N24" s="124"/>
      <c r="O24" s="167"/>
      <c r="P24" s="168"/>
      <c r="Q24" s="169"/>
      <c r="R24" s="170"/>
      <c r="S24" s="159"/>
      <c r="T24" s="159"/>
    </row>
    <row r="25" spans="2:20" ht="22.5" customHeight="1" x14ac:dyDescent="0.25">
      <c r="B25" s="154" t="s">
        <v>62</v>
      </c>
      <c r="C25" s="492">
        <f>FGP!E24</f>
        <v>3.3629397569958934</v>
      </c>
      <c r="D25" s="437">
        <f t="shared" si="0"/>
        <v>48387.39470276449</v>
      </c>
      <c r="E25" s="474">
        <f>FGP!K24</f>
        <v>3.8577092314136294</v>
      </c>
      <c r="F25" s="437">
        <f t="shared" si="1"/>
        <v>27753.173223010166</v>
      </c>
      <c r="G25" s="474">
        <f>FGP!Q24</f>
        <v>4.9885858474460525</v>
      </c>
      <c r="H25" s="474">
        <f t="shared" si="3"/>
        <v>0.49885858474460526</v>
      </c>
      <c r="I25" s="437">
        <f t="shared" si="4"/>
        <v>11962.979310331419</v>
      </c>
      <c r="J25" s="475">
        <f t="shared" si="2"/>
        <v>88103.547236106067</v>
      </c>
      <c r="K25" s="148"/>
      <c r="L25" s="167"/>
      <c r="M25" s="124"/>
      <c r="N25" s="124"/>
      <c r="O25" s="167"/>
      <c r="P25" s="168"/>
      <c r="Q25" s="169"/>
      <c r="R25" s="170"/>
      <c r="S25" s="159"/>
      <c r="T25" s="159"/>
    </row>
    <row r="26" spans="2:20" ht="22.5" customHeight="1" x14ac:dyDescent="0.25">
      <c r="B26" s="154" t="s">
        <v>63</v>
      </c>
      <c r="C26" s="492">
        <f>FGP!E25</f>
        <v>35.020363236103471</v>
      </c>
      <c r="D26" s="437">
        <f t="shared" si="0"/>
        <v>503887.74732416071</v>
      </c>
      <c r="E26" s="474">
        <f>FGP!K25</f>
        <v>2.9827350571419644</v>
      </c>
      <c r="F26" s="437">
        <f t="shared" si="1"/>
        <v>21458.424612492585</v>
      </c>
      <c r="G26" s="474">
        <f>FGP!Q25</f>
        <v>0.72301613652345198</v>
      </c>
      <c r="H26" s="474">
        <f t="shared" si="3"/>
        <v>7.2301613652345206E-2</v>
      </c>
      <c r="I26" s="437">
        <f t="shared" si="4"/>
        <v>1733.8434872668288</v>
      </c>
      <c r="J26" s="475">
        <f t="shared" si="2"/>
        <v>527080.01542392012</v>
      </c>
      <c r="K26" s="148"/>
      <c r="L26" s="167"/>
      <c r="M26" s="124"/>
      <c r="N26" s="124"/>
      <c r="O26" s="167"/>
      <c r="P26" s="168"/>
      <c r="Q26" s="169"/>
      <c r="R26" s="170"/>
      <c r="S26" s="159"/>
      <c r="T26" s="159"/>
    </row>
    <row r="27" spans="2:20" ht="22.5" customHeight="1" x14ac:dyDescent="0.25">
      <c r="B27" s="154" t="s">
        <v>64</v>
      </c>
      <c r="C27" s="492">
        <f>FGP!E26</f>
        <v>2.5879513991786967</v>
      </c>
      <c r="D27" s="437">
        <f t="shared" si="0"/>
        <v>37236.53555289784</v>
      </c>
      <c r="E27" s="474">
        <f>FGP!K26</f>
        <v>5.5676442231633141</v>
      </c>
      <c r="F27" s="437">
        <f t="shared" si="1"/>
        <v>40054.805922456908</v>
      </c>
      <c r="G27" s="474">
        <f>FGP!Q26</f>
        <v>4.9143119050681587</v>
      </c>
      <c r="H27" s="474">
        <f t="shared" si="3"/>
        <v>0.49143119050681588</v>
      </c>
      <c r="I27" s="437">
        <f t="shared" si="4"/>
        <v>11784.865178764776</v>
      </c>
      <c r="J27" s="475">
        <f t="shared" si="2"/>
        <v>89076.206654119509</v>
      </c>
      <c r="K27" s="148"/>
      <c r="L27" s="167"/>
      <c r="M27" s="124"/>
      <c r="N27" s="124"/>
      <c r="O27" s="167"/>
      <c r="P27" s="168"/>
      <c r="Q27" s="169"/>
      <c r="R27" s="170"/>
      <c r="S27" s="159"/>
      <c r="T27" s="159"/>
    </row>
    <row r="28" spans="2:20" ht="22.5" customHeight="1" thickBot="1" x14ac:dyDescent="0.3">
      <c r="B28" s="154" t="s">
        <v>65</v>
      </c>
      <c r="C28" s="492">
        <f>FGP!E27</f>
        <v>4.8616061978747727</v>
      </c>
      <c r="D28" s="437">
        <f t="shared" si="0"/>
        <v>69950.839142034631</v>
      </c>
      <c r="E28" s="474">
        <f>FGP!K27</f>
        <v>5.9196567149170862</v>
      </c>
      <c r="F28" s="437">
        <f t="shared" si="1"/>
        <v>42587.257974766188</v>
      </c>
      <c r="G28" s="474">
        <f>FGP!Q27</f>
        <v>3.3751571183650202</v>
      </c>
      <c r="H28" s="474">
        <f t="shared" si="3"/>
        <v>0.33751571183650203</v>
      </c>
      <c r="I28" s="437">
        <f t="shared" si="4"/>
        <v>8093.8638746268834</v>
      </c>
      <c r="J28" s="475">
        <f t="shared" si="2"/>
        <v>120631.9609914277</v>
      </c>
      <c r="K28" s="148"/>
      <c r="L28" s="167"/>
      <c r="M28" s="124"/>
      <c r="N28" s="124"/>
      <c r="O28" s="167"/>
      <c r="P28" s="168"/>
      <c r="Q28" s="169"/>
      <c r="R28" s="170"/>
      <c r="S28" s="159"/>
      <c r="T28" s="159"/>
    </row>
    <row r="29" spans="2:20" ht="15.75" thickBot="1" x14ac:dyDescent="0.3">
      <c r="B29" s="490" t="s">
        <v>66</v>
      </c>
      <c r="C29" s="493">
        <f>SUM(C9:C28)</f>
        <v>100.00000000000001</v>
      </c>
      <c r="D29" s="73">
        <f>Datos!K64*'FOCO ISAN'!C7</f>
        <v>1438842.15</v>
      </c>
      <c r="E29" s="216">
        <f>SUM(E9:E28)</f>
        <v>100</v>
      </c>
      <c r="F29" s="73">
        <f>Datos!K64*'FOCO ISAN'!E7</f>
        <v>719421.07499999995</v>
      </c>
      <c r="G29" s="216">
        <v>99.999999999999972</v>
      </c>
      <c r="H29" s="217">
        <f t="shared" si="3"/>
        <v>9.9999999999999982</v>
      </c>
      <c r="I29" s="73">
        <f>Datos!K64*'FOCO ISAN'!G7</f>
        <v>239807.02500000002</v>
      </c>
      <c r="J29" s="210">
        <f>SUM(J9:J28)</f>
        <v>2398070.25</v>
      </c>
      <c r="K29" s="215"/>
      <c r="L29" s="172"/>
      <c r="M29" s="171"/>
      <c r="N29" s="171"/>
      <c r="O29" s="172"/>
      <c r="P29" s="151"/>
      <c r="Q29" s="169"/>
      <c r="R29" s="170"/>
      <c r="S29" s="159"/>
      <c r="T29" s="159"/>
    </row>
    <row r="30" spans="2:20" x14ac:dyDescent="0.25">
      <c r="B30" s="869" t="s">
        <v>300</v>
      </c>
      <c r="C30" s="869"/>
      <c r="D30" s="869"/>
      <c r="E30" s="869"/>
      <c r="F30" s="869"/>
      <c r="G30" s="869"/>
      <c r="H30" s="11"/>
      <c r="I30" s="11"/>
      <c r="J30" s="11"/>
      <c r="K30" s="167"/>
      <c r="L30" s="158"/>
      <c r="M30" s="158"/>
      <c r="N30" s="159"/>
      <c r="O30" s="159"/>
      <c r="P30" s="159"/>
      <c r="Q30" s="159"/>
      <c r="R30" s="159"/>
      <c r="S30" s="159"/>
      <c r="T30" s="159"/>
    </row>
    <row r="31" spans="2:20" ht="27" customHeight="1" x14ac:dyDescent="0.25">
      <c r="B31" s="848" t="s">
        <v>373</v>
      </c>
      <c r="C31" s="849"/>
      <c r="D31" s="849"/>
      <c r="E31" s="849"/>
      <c r="F31" s="849"/>
      <c r="G31" s="849"/>
      <c r="H31" s="849"/>
      <c r="I31" s="849"/>
      <c r="J31" s="849"/>
      <c r="K31" s="588"/>
      <c r="L31" s="588"/>
      <c r="M31" s="588"/>
      <c r="N31" s="588"/>
      <c r="O31" s="588"/>
      <c r="P31" s="588"/>
      <c r="Q31" s="588"/>
      <c r="R31" s="588"/>
      <c r="S31" s="588"/>
      <c r="T31" s="588"/>
    </row>
    <row r="32" spans="2:20" x14ac:dyDescent="0.25">
      <c r="B32" s="937"/>
      <c r="C32" s="937"/>
      <c r="D32" s="937"/>
      <c r="E32" s="937"/>
      <c r="F32" s="937"/>
      <c r="G32" s="937"/>
      <c r="H32" s="937"/>
      <c r="I32" s="937"/>
      <c r="J32" s="937"/>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vt:i4>
      </vt:variant>
    </vt:vector>
  </HeadingPairs>
  <TitlesOfParts>
    <vt:vector size="22" baseType="lpstr">
      <vt:lpstr>CALENDARIO 2020</vt:lpstr>
      <vt:lpstr>Consolidado</vt:lpstr>
      <vt:lpstr>FGP</vt:lpstr>
      <vt:lpstr>FFM</vt:lpstr>
      <vt:lpstr>FOCO</vt:lpstr>
      <vt:lpstr>IEPS TyA</vt:lpstr>
      <vt:lpstr>IEPS GyD </vt:lpstr>
      <vt:lpstr>FOFIR</vt:lpstr>
      <vt:lpstr>FOCO ISAN</vt:lpstr>
      <vt:lpstr>Incentivo ISAN</vt:lpstr>
      <vt:lpstr>Predial y Agua</vt:lpstr>
      <vt:lpstr>CENSO 2015</vt:lpstr>
      <vt:lpstr>IEPS 2014 </vt:lpstr>
      <vt:lpstr>F.G.P. 2020</vt:lpstr>
      <vt:lpstr>F.F.M.2020</vt:lpstr>
      <vt:lpstr>FOCO 2020</vt:lpstr>
      <vt:lpstr>IEPS2020</vt:lpstr>
      <vt:lpstr>IEPSGAS 2020</vt:lpstr>
      <vt:lpstr>FOFIR 2020</vt:lpstr>
      <vt:lpstr>FOCO ISAN </vt:lpstr>
      <vt:lpstr>ISAN Recaudacion</vt:lpstr>
      <vt:lpstr>Datos!Área_de_impresión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Palmira González</cp:lastModifiedBy>
  <cp:lastPrinted>2020-01-17T19:37:49Z</cp:lastPrinted>
  <dcterms:created xsi:type="dcterms:W3CDTF">2018-01-30T21:48:08Z</dcterms:created>
  <dcterms:modified xsi:type="dcterms:W3CDTF">2020-01-31T22:00:07Z</dcterms:modified>
</cp:coreProperties>
</file>